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740" windowHeight="11208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 s="1"/>
  <c r="I11" i="1"/>
  <c r="J11" i="1"/>
  <c r="F12" i="1"/>
  <c r="H12" i="1" s="1"/>
  <c r="I12" i="1"/>
  <c r="J12" i="1"/>
  <c r="G111" i="1"/>
  <c r="G66" i="1"/>
  <c r="G38" i="1"/>
  <c r="J24" i="1" l="1"/>
  <c r="I24" i="1"/>
  <c r="J23" i="1"/>
  <c r="I23" i="1"/>
  <c r="J22" i="1"/>
  <c r="I22" i="1"/>
  <c r="J21" i="1"/>
  <c r="I21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235" i="1" l="1"/>
  <c r="J234" i="1"/>
  <c r="J233" i="1"/>
  <c r="J232" i="1"/>
  <c r="J231" i="1"/>
  <c r="J230" i="1"/>
  <c r="J229" i="1"/>
  <c r="J228" i="1"/>
  <c r="J218" i="1"/>
  <c r="J219" i="1"/>
  <c r="J220" i="1"/>
  <c r="J221" i="1"/>
  <c r="J222" i="1"/>
  <c r="J223" i="1"/>
  <c r="J224" i="1"/>
  <c r="J225" i="1"/>
  <c r="J226" i="1"/>
  <c r="J227" i="1"/>
  <c r="J217" i="1"/>
  <c r="J216" i="1"/>
  <c r="J215" i="1"/>
  <c r="J214" i="1"/>
  <c r="J208" i="1"/>
  <c r="J209" i="1"/>
  <c r="J210" i="1"/>
  <c r="J211" i="1"/>
  <c r="J212" i="1"/>
  <c r="J213" i="1"/>
  <c r="J207" i="1"/>
  <c r="J206" i="1"/>
  <c r="J205" i="1"/>
  <c r="J204" i="1"/>
  <c r="J202" i="1"/>
  <c r="J203" i="1"/>
  <c r="J201" i="1"/>
  <c r="J200" i="1"/>
  <c r="J199" i="1"/>
  <c r="J198" i="1"/>
  <c r="J197" i="1"/>
  <c r="J194" i="1"/>
  <c r="J195" i="1"/>
  <c r="J196" i="1"/>
  <c r="J193" i="1"/>
  <c r="J191" i="1"/>
  <c r="J192" i="1"/>
  <c r="J190" i="1"/>
  <c r="J188" i="1"/>
  <c r="J189" i="1"/>
  <c r="J187" i="1"/>
  <c r="J186" i="1"/>
  <c r="J182" i="1"/>
  <c r="J183" i="1"/>
  <c r="J184" i="1"/>
  <c r="J185" i="1"/>
  <c r="J181" i="1"/>
  <c r="J180" i="1"/>
  <c r="J176" i="1"/>
  <c r="J177" i="1"/>
  <c r="J178" i="1"/>
  <c r="J179" i="1"/>
  <c r="J175" i="1"/>
  <c r="J174" i="1"/>
  <c r="J171" i="1"/>
  <c r="J172" i="1"/>
  <c r="J173" i="1"/>
  <c r="J170" i="1"/>
  <c r="J167" i="1"/>
  <c r="J168" i="1"/>
  <c r="J169" i="1"/>
  <c r="J166" i="1"/>
  <c r="J165" i="1"/>
  <c r="J164" i="1"/>
  <c r="J161" i="1"/>
  <c r="J162" i="1"/>
  <c r="J163" i="1"/>
  <c r="J160" i="1"/>
  <c r="J159" i="1"/>
  <c r="J158" i="1"/>
  <c r="J157" i="1"/>
  <c r="J156" i="1"/>
  <c r="J154" i="1"/>
  <c r="J155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6" i="1"/>
  <c r="J115" i="1"/>
  <c r="J114" i="1"/>
  <c r="J113" i="1"/>
  <c r="I235" i="1"/>
  <c r="I234" i="1"/>
  <c r="I233" i="1"/>
  <c r="I232" i="1"/>
  <c r="I231" i="1"/>
  <c r="I230" i="1"/>
  <c r="I229" i="1"/>
  <c r="I228" i="1"/>
  <c r="I218" i="1"/>
  <c r="I219" i="1"/>
  <c r="I220" i="1"/>
  <c r="I221" i="1"/>
  <c r="I222" i="1"/>
  <c r="I223" i="1"/>
  <c r="I224" i="1"/>
  <c r="I225" i="1"/>
  <c r="I226" i="1"/>
  <c r="I227" i="1"/>
  <c r="I217" i="1"/>
  <c r="I216" i="1"/>
  <c r="I215" i="1"/>
  <c r="I214" i="1"/>
  <c r="I208" i="1"/>
  <c r="I209" i="1"/>
  <c r="I210" i="1"/>
  <c r="I211" i="1"/>
  <c r="I212" i="1"/>
  <c r="I213" i="1"/>
  <c r="I207" i="1"/>
  <c r="I206" i="1"/>
  <c r="I205" i="1"/>
  <c r="I204" i="1"/>
  <c r="I202" i="1"/>
  <c r="I203" i="1"/>
  <c r="I201" i="1"/>
  <c r="I200" i="1"/>
  <c r="I199" i="1"/>
  <c r="I198" i="1"/>
  <c r="I197" i="1"/>
  <c r="I194" i="1"/>
  <c r="I195" i="1"/>
  <c r="I196" i="1"/>
  <c r="I193" i="1"/>
  <c r="I191" i="1"/>
  <c r="I192" i="1"/>
  <c r="I190" i="1"/>
  <c r="I189" i="1"/>
  <c r="I188" i="1"/>
  <c r="I187" i="1"/>
  <c r="I186" i="1"/>
  <c r="I184" i="1"/>
  <c r="I185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6" i="1"/>
  <c r="I115" i="1"/>
  <c r="I114" i="1"/>
  <c r="I113" i="1"/>
  <c r="J110" i="1"/>
  <c r="J109" i="1"/>
  <c r="J108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I110" i="1"/>
  <c r="I109" i="1"/>
  <c r="I108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J65" i="1"/>
  <c r="J64" i="1"/>
  <c r="J63" i="1"/>
  <c r="J62" i="1"/>
  <c r="J61" i="1"/>
  <c r="J60" i="1"/>
  <c r="J59" i="1"/>
  <c r="J58" i="1"/>
  <c r="J56" i="1"/>
  <c r="J55" i="1"/>
  <c r="I65" i="1"/>
  <c r="I64" i="1"/>
  <c r="I63" i="1"/>
  <c r="I62" i="1"/>
  <c r="I61" i="1"/>
  <c r="I60" i="1"/>
  <c r="I59" i="1"/>
  <c r="I58" i="1"/>
  <c r="I56" i="1"/>
  <c r="I55" i="1"/>
  <c r="I52" i="1"/>
  <c r="I51" i="1"/>
  <c r="J52" i="1"/>
  <c r="J51" i="1"/>
  <c r="J50" i="1"/>
  <c r="I50" i="1"/>
  <c r="J49" i="1"/>
  <c r="I49" i="1"/>
  <c r="J48" i="1"/>
  <c r="I48" i="1"/>
  <c r="J40" i="1"/>
  <c r="I40" i="1"/>
  <c r="I66" i="1" l="1"/>
  <c r="I236" i="1"/>
  <c r="J236" i="1"/>
  <c r="J66" i="1"/>
  <c r="J111" i="1"/>
  <c r="I111" i="1"/>
  <c r="J37" i="1"/>
  <c r="I37" i="1"/>
  <c r="J36" i="1"/>
  <c r="I36" i="1"/>
  <c r="J34" i="1"/>
  <c r="I34" i="1"/>
  <c r="J33" i="1"/>
  <c r="I33" i="1"/>
  <c r="J32" i="1"/>
  <c r="I32" i="1"/>
  <c r="J30" i="1"/>
  <c r="I30" i="1"/>
  <c r="J29" i="1"/>
  <c r="J28" i="1"/>
  <c r="I29" i="1"/>
  <c r="I28" i="1"/>
  <c r="J27" i="1"/>
  <c r="I27" i="1"/>
  <c r="J26" i="1"/>
  <c r="I26" i="1"/>
  <c r="G236" i="1"/>
  <c r="F25" i="1"/>
  <c r="H25" i="1" s="1"/>
  <c r="F24" i="1"/>
  <c r="H24" i="1" s="1"/>
  <c r="F23" i="1"/>
  <c r="H23" i="1" s="1"/>
  <c r="F22" i="1"/>
  <c r="H22" i="1" s="1"/>
  <c r="F26" i="1"/>
  <c r="H26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G237" i="1" l="1"/>
  <c r="J38" i="1"/>
  <c r="I38" i="1"/>
  <c r="F21" i="1"/>
  <c r="H21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8" i="1"/>
  <c r="H108" i="1" s="1"/>
  <c r="F109" i="1"/>
  <c r="H109" i="1" s="1"/>
  <c r="F110" i="1"/>
  <c r="H110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94" i="1"/>
  <c r="H194" i="1" s="1"/>
  <c r="F195" i="1"/>
  <c r="H195" i="1" s="1"/>
  <c r="F196" i="1"/>
  <c r="H196" i="1" s="1"/>
  <c r="F197" i="1"/>
  <c r="H197" i="1" s="1"/>
  <c r="F198" i="1"/>
  <c r="H198" i="1" s="1"/>
  <c r="F199" i="1"/>
  <c r="H199" i="1" s="1"/>
  <c r="F200" i="1"/>
  <c r="H200" i="1" s="1"/>
  <c r="F201" i="1"/>
  <c r="H201" i="1" s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H209" i="1" s="1"/>
  <c r="F210" i="1"/>
  <c r="H210" i="1" s="1"/>
  <c r="F211" i="1"/>
  <c r="H211" i="1" s="1"/>
  <c r="F212" i="1"/>
  <c r="H212" i="1" s="1"/>
  <c r="F213" i="1"/>
  <c r="H213" i="1" s="1"/>
  <c r="F214" i="1"/>
  <c r="H214" i="1" s="1"/>
  <c r="F215" i="1"/>
  <c r="H215" i="1" s="1"/>
  <c r="F216" i="1"/>
  <c r="H216" i="1" s="1"/>
  <c r="F217" i="1"/>
  <c r="H217" i="1" s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H225" i="1" s="1"/>
  <c r="F226" i="1"/>
  <c r="H226" i="1" s="1"/>
  <c r="F227" i="1"/>
  <c r="H227" i="1" s="1"/>
  <c r="F228" i="1"/>
  <c r="H228" i="1" s="1"/>
  <c r="F229" i="1"/>
  <c r="H229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H38" i="1" l="1"/>
  <c r="H66" i="1"/>
  <c r="I237" i="1"/>
  <c r="J237" i="1"/>
  <c r="H236" i="1" l="1"/>
  <c r="H111" i="1"/>
  <c r="H237" i="1" l="1"/>
</calcChain>
</file>

<file path=xl/sharedStrings.xml><?xml version="1.0" encoding="utf-8"?>
<sst xmlns="http://schemas.openxmlformats.org/spreadsheetml/2006/main" count="577" uniqueCount="483">
  <si>
    <t>Петарды Связка 1/8/20</t>
  </si>
  <si>
    <t>Петарды Хлопающие шары 16/12/6</t>
  </si>
  <si>
    <t xml:space="preserve">А1010 </t>
  </si>
  <si>
    <t xml:space="preserve">А1030 </t>
  </si>
  <si>
    <t>А 1035</t>
  </si>
  <si>
    <t>А 1040</t>
  </si>
  <si>
    <t>А 1050</t>
  </si>
  <si>
    <t>А 1100</t>
  </si>
  <si>
    <t>А 1111</t>
  </si>
  <si>
    <t>А 1120</t>
  </si>
  <si>
    <t>А 1130</t>
  </si>
  <si>
    <t>А 1131</t>
  </si>
  <si>
    <t>А 1132</t>
  </si>
  <si>
    <t>А 1133</t>
  </si>
  <si>
    <t>А 1135</t>
  </si>
  <si>
    <t>А 1140</t>
  </si>
  <si>
    <t>А 1142</t>
  </si>
  <si>
    <t>А 1143</t>
  </si>
  <si>
    <t>А 1144</t>
  </si>
  <si>
    <t>А 1146</t>
  </si>
  <si>
    <t>А 1147</t>
  </si>
  <si>
    <t>А 1148</t>
  </si>
  <si>
    <t>А 1149</t>
  </si>
  <si>
    <t>А 1150</t>
  </si>
  <si>
    <t>А 1200</t>
  </si>
  <si>
    <t>А 1250</t>
  </si>
  <si>
    <t>А 1300</t>
  </si>
  <si>
    <t>А 1500</t>
  </si>
  <si>
    <t>А 2030</t>
  </si>
  <si>
    <t>А 2032</t>
  </si>
  <si>
    <t>А 2033</t>
  </si>
  <si>
    <t>А 2034</t>
  </si>
  <si>
    <t>А 2035</t>
  </si>
  <si>
    <t>А 2036</t>
  </si>
  <si>
    <t>А 2055</t>
  </si>
  <si>
    <t>А 3020</t>
  </si>
  <si>
    <t>А 3030</t>
  </si>
  <si>
    <t>А 3040</t>
  </si>
  <si>
    <t>А 3050</t>
  </si>
  <si>
    <t>А 3500</t>
  </si>
  <si>
    <t>А 3520</t>
  </si>
  <si>
    <t>А 4001</t>
  </si>
  <si>
    <t>А 4010</t>
  </si>
  <si>
    <t>А 4020</t>
  </si>
  <si>
    <t>А 4030</t>
  </si>
  <si>
    <t>А 4120</t>
  </si>
  <si>
    <t>А 4122</t>
  </si>
  <si>
    <t>А 4123</t>
  </si>
  <si>
    <t>А 4124</t>
  </si>
  <si>
    <t>А 4126</t>
  </si>
  <si>
    <t>А 4129</t>
  </si>
  <si>
    <t>А 5000</t>
  </si>
  <si>
    <t>А 5021</t>
  </si>
  <si>
    <t>А 5022</t>
  </si>
  <si>
    <t>А 5024</t>
  </si>
  <si>
    <t>А 5025</t>
  </si>
  <si>
    <t>А 5026</t>
  </si>
  <si>
    <t>А 5027</t>
  </si>
  <si>
    <t>А 5028</t>
  </si>
  <si>
    <t>А 5030</t>
  </si>
  <si>
    <t>А 5033</t>
  </si>
  <si>
    <t>А 5034</t>
  </si>
  <si>
    <t>А 5035</t>
  </si>
  <si>
    <t>А 5036</t>
  </si>
  <si>
    <t>А 5037</t>
  </si>
  <si>
    <t>А 5038</t>
  </si>
  <si>
    <t>А 5039</t>
  </si>
  <si>
    <t>А 5040</t>
  </si>
  <si>
    <t>А 5041</t>
  </si>
  <si>
    <t>А 5042</t>
  </si>
  <si>
    <t>А 5045</t>
  </si>
  <si>
    <t>А 5047</t>
  </si>
  <si>
    <t>А 5048</t>
  </si>
  <si>
    <t>А 5049</t>
  </si>
  <si>
    <t>А 5050</t>
  </si>
  <si>
    <t>А 5051</t>
  </si>
  <si>
    <t>А 5052</t>
  </si>
  <si>
    <t>А 5053</t>
  </si>
  <si>
    <t>А 5054</t>
  </si>
  <si>
    <t>А 5055</t>
  </si>
  <si>
    <t>А 5064</t>
  </si>
  <si>
    <t>А 5065</t>
  </si>
  <si>
    <t>А 5066</t>
  </si>
  <si>
    <t>А 5068</t>
  </si>
  <si>
    <t>А 5070</t>
  </si>
  <si>
    <t>А 5140</t>
  </si>
  <si>
    <t>А 5141</t>
  </si>
  <si>
    <t>А 5150</t>
  </si>
  <si>
    <t>А 5160</t>
  </si>
  <si>
    <t>А 5170</t>
  </si>
  <si>
    <t>А 6022</t>
  </si>
  <si>
    <t>А 6210</t>
  </si>
  <si>
    <t>А 7000</t>
  </si>
  <si>
    <t>А 7001</t>
  </si>
  <si>
    <t>А 7002</t>
  </si>
  <si>
    <t>А 7003</t>
  </si>
  <si>
    <t>А 7008</t>
  </si>
  <si>
    <t>А 7011</t>
  </si>
  <si>
    <t>А 7016</t>
  </si>
  <si>
    <t>А 7017</t>
  </si>
  <si>
    <t>А 7018</t>
  </si>
  <si>
    <t>А 7019</t>
  </si>
  <si>
    <t>А 7021</t>
  </si>
  <si>
    <t>А 7022</t>
  </si>
  <si>
    <t>А 7023</t>
  </si>
  <si>
    <t>А 7025</t>
  </si>
  <si>
    <t>А 7026</t>
  </si>
  <si>
    <t>А 7030</t>
  </si>
  <si>
    <t>А 7035</t>
  </si>
  <si>
    <t>А 7037</t>
  </si>
  <si>
    <t>А 7038</t>
  </si>
  <si>
    <t>А 7040</t>
  </si>
  <si>
    <t>А 7041</t>
  </si>
  <si>
    <t>А 7042</t>
  </si>
  <si>
    <t>А 7043</t>
  </si>
  <si>
    <t>А 7044</t>
  </si>
  <si>
    <t>А 7045</t>
  </si>
  <si>
    <t>А 7048</t>
  </si>
  <si>
    <t>А 7060</t>
  </si>
  <si>
    <t>А 7061</t>
  </si>
  <si>
    <t>А 7064</t>
  </si>
  <si>
    <t>А 7065</t>
  </si>
  <si>
    <t>А 7070</t>
  </si>
  <si>
    <t>А 7104</t>
  </si>
  <si>
    <t>А 7109</t>
  </si>
  <si>
    <t>А 7111</t>
  </si>
  <si>
    <t>А 7112</t>
  </si>
  <si>
    <t>А 7113</t>
  </si>
  <si>
    <t>А 7120</t>
  </si>
  <si>
    <t>А 7121</t>
  </si>
  <si>
    <t>А 7130</t>
  </si>
  <si>
    <t>А 7131</t>
  </si>
  <si>
    <t>А 7140</t>
  </si>
  <si>
    <t>А 7141</t>
  </si>
  <si>
    <t>А 7151</t>
  </si>
  <si>
    <t>А 7185</t>
  </si>
  <si>
    <t>А 7186</t>
  </si>
  <si>
    <t>А 7200</t>
  </si>
  <si>
    <t>А 7201</t>
  </si>
  <si>
    <t>А 7210</t>
  </si>
  <si>
    <t>А 7211</t>
  </si>
  <si>
    <t>А 7212</t>
  </si>
  <si>
    <t>А 7215</t>
  </si>
  <si>
    <t>А 7216</t>
  </si>
  <si>
    <t>А 7218</t>
  </si>
  <si>
    <t>А 7220</t>
  </si>
  <si>
    <t>А 7225</t>
  </si>
  <si>
    <t>А 7227</t>
  </si>
  <si>
    <t>А 7229</t>
  </si>
  <si>
    <t>А 7280</t>
  </si>
  <si>
    <t>А 7285</t>
  </si>
  <si>
    <t>А 7290</t>
  </si>
  <si>
    <t>А 7291</t>
  </si>
  <si>
    <t>А 7292</t>
  </si>
  <si>
    <t>А 7300</t>
  </si>
  <si>
    <t>А 7301</t>
  </si>
  <si>
    <t>А 7302</t>
  </si>
  <si>
    <t>А 7303</t>
  </si>
  <si>
    <t>А 7307</t>
  </si>
  <si>
    <t>А 7308</t>
  </si>
  <si>
    <t>А 7309</t>
  </si>
  <si>
    <t>А 7310</t>
  </si>
  <si>
    <t>А 7312</t>
  </si>
  <si>
    <t>А 7313</t>
  </si>
  <si>
    <t>А 7314</t>
  </si>
  <si>
    <t>А 7316</t>
  </si>
  <si>
    <t>А 7317</t>
  </si>
  <si>
    <t>А 7383</t>
  </si>
  <si>
    <t>А 7390</t>
  </si>
  <si>
    <t>А 7401</t>
  </si>
  <si>
    <t>А 7402</t>
  </si>
  <si>
    <t>А 7408</t>
  </si>
  <si>
    <t>А 7420</t>
  </si>
  <si>
    <t>А 7422</t>
  </si>
  <si>
    <t>А 7423</t>
  </si>
  <si>
    <t>А 7424</t>
  </si>
  <si>
    <t>А 7433</t>
  </si>
  <si>
    <t>А 7434</t>
  </si>
  <si>
    <t>А 7435</t>
  </si>
  <si>
    <t>А 7436</t>
  </si>
  <si>
    <t>А 7448</t>
  </si>
  <si>
    <t>А 7449</t>
  </si>
  <si>
    <t>А 7450</t>
  </si>
  <si>
    <t>А 7500</t>
  </si>
  <si>
    <t>А 7501</t>
  </si>
  <si>
    <t>А 7502</t>
  </si>
  <si>
    <t>А 7503</t>
  </si>
  <si>
    <t>А 7504</t>
  </si>
  <si>
    <t>А 7505</t>
  </si>
  <si>
    <t>А 7508</t>
  </si>
  <si>
    <t>А 7511</t>
  </si>
  <si>
    <t>А 7512</t>
  </si>
  <si>
    <t>А 7515</t>
  </si>
  <si>
    <t>А 7525</t>
  </si>
  <si>
    <t>А 7528</t>
  </si>
  <si>
    <t>А 7535</t>
  </si>
  <si>
    <t>А 7600</t>
  </si>
  <si>
    <t>А 7602</t>
  </si>
  <si>
    <t>А 7605</t>
  </si>
  <si>
    <t>А 7607</t>
  </si>
  <si>
    <t>А 7609</t>
  </si>
  <si>
    <t>А 7611</t>
  </si>
  <si>
    <t>А 7612</t>
  </si>
  <si>
    <t>А 7613</t>
  </si>
  <si>
    <t>А 7616</t>
  </si>
  <si>
    <t>А 7617</t>
  </si>
  <si>
    <t>А 7618</t>
  </si>
  <si>
    <t>А 7620</t>
  </si>
  <si>
    <t>А 7621</t>
  </si>
  <si>
    <t>А 7622</t>
  </si>
  <si>
    <t>А 7623</t>
  </si>
  <si>
    <t>А 7642</t>
  </si>
  <si>
    <t>А 7643</t>
  </si>
  <si>
    <t>А 7644</t>
  </si>
  <si>
    <t>А 7668</t>
  </si>
  <si>
    <t>Гром 1 1/40/36</t>
  </si>
  <si>
    <t>Баба-Яга 8/10/5</t>
  </si>
  <si>
    <t>Горилла 1/50/6</t>
  </si>
  <si>
    <t>Корсар 2 50/10/20</t>
  </si>
  <si>
    <t>Корсар 3 1/100/50</t>
  </si>
  <si>
    <t>Гром 2 1/40/36</t>
  </si>
  <si>
    <t>Корсар 3 с эффектом 2 хлопка 1/100/50</t>
  </si>
  <si>
    <t>Корсар 3 с эффектом 3 хлопка 1/100/50</t>
  </si>
  <si>
    <t>Корсар 3 с эффектом 5 хлопков 1/50/50</t>
  </si>
  <si>
    <t>Голландская петарда 1/100/20</t>
  </si>
  <si>
    <t>Испанская петарда 1/100/20</t>
  </si>
  <si>
    <t>Гром 3 1/40/36</t>
  </si>
  <si>
    <t>Небесный Корсар 1/36/6</t>
  </si>
  <si>
    <t>Супер Корсар 1/40/40</t>
  </si>
  <si>
    <t>Корсар Царь 1/100/10</t>
  </si>
  <si>
    <t>Поп Поп 12/50/50</t>
  </si>
  <si>
    <t>Корсар 1 24/10/60</t>
  </si>
  <si>
    <t>Корсар 6 1/50/6</t>
  </si>
  <si>
    <t>Крэйзи Робот 1/72/12</t>
  </si>
  <si>
    <t>Ахтунг 1/50/6</t>
  </si>
  <si>
    <t>Биг Барабум 1/48/5</t>
  </si>
  <si>
    <t>К звездам 20/12/12</t>
  </si>
  <si>
    <t>Парашют 1/96/6</t>
  </si>
  <si>
    <t>Парад планет 1/48/12</t>
  </si>
  <si>
    <t>Меркурий 1/10/9</t>
  </si>
  <si>
    <t>Земля Воздух 1/32/6</t>
  </si>
  <si>
    <t>Союз Апполон 1/36/12</t>
  </si>
  <si>
    <t>Белая Медведица 1/10/21</t>
  </si>
  <si>
    <t>Карлсон 24/10/12</t>
  </si>
  <si>
    <t>Весенняя бабочка 1/60/12</t>
  </si>
  <si>
    <t>Супер бабочка 1/72/6</t>
  </si>
  <si>
    <t>Истребитель 1/60/6</t>
  </si>
  <si>
    <t>Волчок 20/12/6</t>
  </si>
  <si>
    <t>Супер жук 20/12/6</t>
  </si>
  <si>
    <t>Настольный фонтан 12см 5/24/4</t>
  </si>
  <si>
    <t>Панда 1/40/10</t>
  </si>
  <si>
    <t>Фонтан с салютом 1/50/1</t>
  </si>
  <si>
    <t>Фудзияма 1/40/1</t>
  </si>
  <si>
    <t>Ежик в тумане 1/36/1</t>
  </si>
  <si>
    <t>Серебряный фонтан 1/20/8</t>
  </si>
  <si>
    <t>Маска 1/20/6</t>
  </si>
  <si>
    <t>Гейзер 1/18/4</t>
  </si>
  <si>
    <t>Везувий 1/12/4</t>
  </si>
  <si>
    <t>Килиманджаро 1/6/2</t>
  </si>
  <si>
    <t>Эйяфьятлайокудль 1/6/2</t>
  </si>
  <si>
    <t>Маскарад (0,6"х10) дл.590мм 1/36/4</t>
  </si>
  <si>
    <t>Эльбрус (0,8"х8) дл.590мм 1/24/4</t>
  </si>
  <si>
    <t>Домбай (0,8"х8) дл.590мм 1/24/4</t>
  </si>
  <si>
    <t>С новым годом! 60 (0,4"х60) 1/40/6</t>
  </si>
  <si>
    <t>С новым годом! 40 (0,4"х40) 1/36/12</t>
  </si>
  <si>
    <t>С новым годом! 30 (0,4"х30) 1/36/12</t>
  </si>
  <si>
    <t>С новым годом! 20 (0,4"х20) 1/48/12</t>
  </si>
  <si>
    <t>С новым годом! 10 (0,4"х10) 1/80/12</t>
  </si>
  <si>
    <t>Кактус (0,8х5) дл.650мм 1/36/4</t>
  </si>
  <si>
    <t>Льдинка (0,8"х5) дл. 650мм 1/36/4</t>
  </si>
  <si>
    <t>Самоцветы (0,8"х8) дл.650мм 1/24/4</t>
  </si>
  <si>
    <t>Орхидея (1,2х8) дл.855мм 1/25/1</t>
  </si>
  <si>
    <t>Вечерний звон (1,2"х8) дл.855мм 1/25/1</t>
  </si>
  <si>
    <t>Крым наш (0,8"х8) дл.650мм 1/24/4</t>
  </si>
  <si>
    <t>Карибский залп (0,8"х8) дл.650мм 1/24/4</t>
  </si>
  <si>
    <t>Казбек (0,8"х8) дл.650мм 1/24/4</t>
  </si>
  <si>
    <t>Эдельвейс (0,8"х8) дл.650мм 1/24/4</t>
  </si>
  <si>
    <t>Калейдоскоп (0,8"х8) дл.650мм 1/24/4</t>
  </si>
  <si>
    <t>Гранатовый браслет (1,2"х8) дл.780мм 1/15/2</t>
  </si>
  <si>
    <t>Ожерелье (0,8"х8) дл.650мм 1/24/4</t>
  </si>
  <si>
    <t>Звездопад (1"х8) дл.650мм 1/36/2</t>
  </si>
  <si>
    <t>Жемчужный блеск (1"х8) дл.650мм 1/36/2</t>
  </si>
  <si>
    <t>Золотое сияние (1"х8) дл.650мм 1/36/2</t>
  </si>
  <si>
    <t>Аквамарин (1"х8) дл.650мм 1/36/2</t>
  </si>
  <si>
    <t>Бриллиант (1"х8) дл.650мм 1/36/2</t>
  </si>
  <si>
    <t>Звездочет (1"х8) дл.6500мм 1/36/2</t>
  </si>
  <si>
    <t>Галактический взрыв (1"х8) дл.650мм 1/36/2</t>
  </si>
  <si>
    <t>Гроза Галактики (1"х8) дл.650мм 1/36/2</t>
  </si>
  <si>
    <t>Сердце океана (0,8"х8) дл.650мм 1/24/4</t>
  </si>
  <si>
    <t>Айсберг (1"х8) дл.850мм 1/24/2</t>
  </si>
  <si>
    <t>Плазма (1"х8) дл.850мм 1/24/2</t>
  </si>
  <si>
    <t>Изумруд (1"х10) дл.850мм 1/24/2</t>
  </si>
  <si>
    <t>Феерия (1"х8) дл.850мм 1/24/2</t>
  </si>
  <si>
    <t>Звездное небо (1,5х5) дл.860мм 1/15/1</t>
  </si>
  <si>
    <t>Разгуляй (1,2"х8) дл.780мм 1/15/2</t>
  </si>
  <si>
    <t>Хризантема (1,2"х5) дл.860мм 1/15/2</t>
  </si>
  <si>
    <t>Праздничная (1,2"х8) дл.780мм 1/15/2</t>
  </si>
  <si>
    <t>Цветочный бум (0,8"х8) дл.650мм 1/24/4</t>
  </si>
  <si>
    <t>Сокровище Урала (0,8"х8) дл.650мм 1/24/4</t>
  </si>
  <si>
    <t>Богатырские (1,5"х6) 1/15/6</t>
  </si>
  <si>
    <t>Царь Пушка (1,75"х12) 1/6/12</t>
  </si>
  <si>
    <t>Огни Большого города (1,75"х6) 1/15/6</t>
  </si>
  <si>
    <t>Катюша 25 (0,4"х25) 1/30/4</t>
  </si>
  <si>
    <t>Катюша 100 (0,4"х100) 1/60/1</t>
  </si>
  <si>
    <t>Василек (0,8"х7) 1/30/2 выс. 12см. круглая</t>
  </si>
  <si>
    <t>Домовенок (0,8"х7) 1/30/2 выс. 12см. круглая</t>
  </si>
  <si>
    <t>Кобра (0,6"х12) 1/36/1 выс. 13см. круглая</t>
  </si>
  <si>
    <t>Смайлик (0,6"х12) 1/36/1 выс. 13см. Круглая</t>
  </si>
  <si>
    <t>Пучина (0,8"х7) 1/48/1 выс. 12см. круглая</t>
  </si>
  <si>
    <t>Фортуна (0,8"х16) 1/24/1 выс. 12,5см.</t>
  </si>
  <si>
    <t>Метелица (0,8"х9) 1/36/1 выс. 12см. круглая</t>
  </si>
  <si>
    <t>Гол (0,8"х16) 1/24/1 выс. 15см. круглая</t>
  </si>
  <si>
    <t>На посошок (0,8"х25) 1/18/1 выс. 12см.</t>
  </si>
  <si>
    <t>Хоровод снежинок (0,8"х25) 1/18/1 выс. 12см.</t>
  </si>
  <si>
    <t>Тихий дворик (0,8"х16) 1/24/1 выс. 12,5см.</t>
  </si>
  <si>
    <t>Звездочка (1"х5) 1/30/1 выс. 13см.</t>
  </si>
  <si>
    <t>Красная шапочка (0,8"х25) 1/18/1 выс. 12см.</t>
  </si>
  <si>
    <t>Анютины глазки (1"х10) 1/24/1 выс. 15см. Круглая</t>
  </si>
  <si>
    <t>Шоколадка (0,8"х25) 1/18/1 выс. 12см.</t>
  </si>
  <si>
    <t>Емеля (0,8"х19) 1/16/1 выс. 13см.</t>
  </si>
  <si>
    <t xml:space="preserve">Дельфин (1"х16) 1/18/1  выс. 15см. </t>
  </si>
  <si>
    <t>Снегири (0,8"х25) 1/18/1 выс. 12см.</t>
  </si>
  <si>
    <t>Коктейль (0,8"х25) 1/18/1 выс. 12см.</t>
  </si>
  <si>
    <t>31 декабря (0,8"х16) 1/24/1 выс. 12,5см.</t>
  </si>
  <si>
    <t>Пошалим (0,8"х19) 1/16/1 выс. 13см.</t>
  </si>
  <si>
    <t xml:space="preserve">Зимняя ночь (1"х16) 1/18/1  выс. 15см. </t>
  </si>
  <si>
    <t xml:space="preserve">Евро (1"х20) 1/12/1  выс. 17см. </t>
  </si>
  <si>
    <t>Дракон (0,8"х25) 1/18/1 выс. 12см.</t>
  </si>
  <si>
    <t>Алладин (1"х10) 1/24/1 выс. 15см. Круглая</t>
  </si>
  <si>
    <t xml:space="preserve">12 месяцев (1"х16) 1/18/1  выс. 15см. </t>
  </si>
  <si>
    <t>Шанхай (0,8"х9) 1/48/1 выс. 14,7см. круглая</t>
  </si>
  <si>
    <t>Тибет (0,8"х10залпов+фонтан) 1/30/1 выс. 15см. круглая</t>
  </si>
  <si>
    <t>Бой курантов (1"х13) 1/12/1 выс. 17,5см. Круглая</t>
  </si>
  <si>
    <t xml:space="preserve">Одноклассники (1"х20) 1/12/1  выс. 17см. </t>
  </si>
  <si>
    <t>Золотая серия 13 (1,25"х13) 1/10/1</t>
  </si>
  <si>
    <t>Оливье (1"х13) 1/12/1 выс. 17,5см. Круглая</t>
  </si>
  <si>
    <t>Хорошее настроение (1"х12залпов+фонтан) 1/24/1 выс. 15см. Круглая</t>
  </si>
  <si>
    <t>У Лукоморья (1"х13) 1/12/1 выс. 17,5см. Круглая</t>
  </si>
  <si>
    <t>Небоскребы Сингапура (1,25"х13) 1/10/1</t>
  </si>
  <si>
    <t>Пенальти (1"х12) 1/24/1 выс. 15см. Круглая</t>
  </si>
  <si>
    <t>Дух пустыни (1,25"х13) 1/10/1</t>
  </si>
  <si>
    <t>Ледяные узоры (1"х12) 1/24/1 выс. 15см. Круглая</t>
  </si>
  <si>
    <t>Хищник (1,25"х13) 1/10/1</t>
  </si>
  <si>
    <t>Супер (1,25"х12) 1/12/1</t>
  </si>
  <si>
    <t>Жемчужина (1,25"х12) 1/12/1</t>
  </si>
  <si>
    <t xml:space="preserve">Гарем (1"х18залпов+1 фонтан) 1/8/1  выс. 12см. </t>
  </si>
  <si>
    <t xml:space="preserve">Оазис (1"х18залпов+1 фонтан) 1/8/1  выс. 12см. </t>
  </si>
  <si>
    <t>Репка (1,25"х19) 1/6/1</t>
  </si>
  <si>
    <t>С наступающим (1,25"х19) 1/8/1</t>
  </si>
  <si>
    <t>Курочка Ряба (1,25"х19) 1/6/1</t>
  </si>
  <si>
    <t>9 мая (1,25"х19) 1/6/1 мяг.уп.</t>
  </si>
  <si>
    <t>Осторов Пасхи (1,25"х19) 1/6/1</t>
  </si>
  <si>
    <t>Светофор (1,25"х19) 1/8/1</t>
  </si>
  <si>
    <t>Гуляние (1,25"х19) 1/8/1</t>
  </si>
  <si>
    <t>Пирамиды Хеопса (1,25"х19) 1/6/1 мяг.уп.</t>
  </si>
  <si>
    <t>Золотая серия 19 (1,25"х19) 1/6/1</t>
  </si>
  <si>
    <t>Ирония судьбы (1,25"х19) 1/6/1</t>
  </si>
  <si>
    <t>Щелкунчик (1,25"х19) 1/6/1</t>
  </si>
  <si>
    <t>Звездочет (1"х25) 1/8/1</t>
  </si>
  <si>
    <t>Иллюзия (1"х25) 1/8/1</t>
  </si>
  <si>
    <t>Йоулупукки (1"х25) 1/8/1</t>
  </si>
  <si>
    <t>Звездопад (1"х25) 1/8/1</t>
  </si>
  <si>
    <t>Лезгинка (1"х25) 1/6/1</t>
  </si>
  <si>
    <t>Победа (1,25х25) 1/4/1 мяг.уп.</t>
  </si>
  <si>
    <t>С Рождеством! (1,25х25) 1/4/1 мяг.уп.</t>
  </si>
  <si>
    <t>С любовью! (1,25х25) 1/4/1</t>
  </si>
  <si>
    <t>Водопад Виктория (1,25х25) 1/4/1 мяг.уп.</t>
  </si>
  <si>
    <t>Веселые ребята  (1,25"х25) 1/6/1</t>
  </si>
  <si>
    <t>Озеро Титикака (1,25х25) 1/4/1 мяг.уп.</t>
  </si>
  <si>
    <t>Золотая серия 25 (1,25х25) 1/4/1 мяг.уп.</t>
  </si>
  <si>
    <t>Зимний сад (1,25х25) 1/4/1 мяг.уп.</t>
  </si>
  <si>
    <t>Рог изобилия (1,25х25) 1/4/1</t>
  </si>
  <si>
    <t>Голубой огонек (1,25х25) 1/4/1 мяг.уп.</t>
  </si>
  <si>
    <t>Сочельник (1,25"х25) 1/6/1</t>
  </si>
  <si>
    <t>Фейерверк (1"х36) 1/4/1</t>
  </si>
  <si>
    <t>Новый год (1"х36) 1/4/1</t>
  </si>
  <si>
    <t>Белые ночи (1"х36) 1/4/1</t>
  </si>
  <si>
    <t>Дед Мороз (1,25"х36) 1/4/1 мяг.уп.</t>
  </si>
  <si>
    <t>Корсар  (1,25"х36) 1/4/1 мяг.уп.</t>
  </si>
  <si>
    <t>Любит не любит  (1,25"х36) 1/4/1</t>
  </si>
  <si>
    <t>Новогодний (1,25"х37) 1/2/1</t>
  </si>
  <si>
    <t>Кобольт (1,25"х37) 1/2/1</t>
  </si>
  <si>
    <t>Золотая рыбка (1,25"х37) 1/2/1 мяг.уп.</t>
  </si>
  <si>
    <t>Ящик Пандорры (1,25"х37) 1/2/1</t>
  </si>
  <si>
    <t>Брызги шампанского (1"+1,25"х36) 1/4/1 мяг.уп.</t>
  </si>
  <si>
    <t>На счастье! (1"х49) 1/4/1</t>
  </si>
  <si>
    <t>Снегопад (1,25"х36) 1/4/1</t>
  </si>
  <si>
    <t>Мадагаскар (1,25"х36) 1/4/1</t>
  </si>
  <si>
    <t>Магия огня (1"х49) 1/4/1</t>
  </si>
  <si>
    <t>Ночная фея (1"х49) 1/4/1</t>
  </si>
  <si>
    <t>Карусель (1"х49) 1/4/1</t>
  </si>
  <si>
    <t>Снежный замок (1,25"х49) 1/4/1</t>
  </si>
  <si>
    <t>Соколиная охота (1,25"х49) 1/4/1</t>
  </si>
  <si>
    <t>Подарок (1,25"х49) 1/2/1</t>
  </si>
  <si>
    <t>С новым годом! (1,25"х49) 1/2/1</t>
  </si>
  <si>
    <t>Тадж Махал (1,25"х49) 1/2/1</t>
  </si>
  <si>
    <t>Пагода (1,25"х49) 1/2/1</t>
  </si>
  <si>
    <t>Снежная Леди (1,25"х49) 1/2/1</t>
  </si>
  <si>
    <t>Золотая серия 49 (1,25"х49) 1/2/1</t>
  </si>
  <si>
    <t>Затерянный мир (1,25"х49) 1/2/1</t>
  </si>
  <si>
    <t>Зимнее волшебство (0,8"х100) 1/2/1</t>
  </si>
  <si>
    <t>Ночной дозор (1"х100) 1/2/1</t>
  </si>
  <si>
    <t>Новогодняя вечеринка (1"х100) 1/2/1</t>
  </si>
  <si>
    <t>Снежный вальс (1,25"х100) 1/1/1</t>
  </si>
  <si>
    <t>Медуза Горгона (1,25"х100) 1/1/1</t>
  </si>
  <si>
    <t>Третий Рим (1,25"х100) 1/1/1</t>
  </si>
  <si>
    <t>Обручальные кольца (1,25"х100) 1/1/1</t>
  </si>
  <si>
    <t>Хозяин Тайги (1,25"х100) 1/1/1</t>
  </si>
  <si>
    <t>Дикая орхидея (1,25"х100) 1/1/1</t>
  </si>
  <si>
    <t>Жемчужные волны (1,25"х100) 1/1/1</t>
  </si>
  <si>
    <t>В гостях у сказки (1,25"х100) 1/1/1</t>
  </si>
  <si>
    <t>Новогодняя карусель (1,25"х100) 1/1/1</t>
  </si>
  <si>
    <t>Карнавальная ночь (1,25"х100) 1/1/1</t>
  </si>
  <si>
    <t>Поле чудес (1,25"х100) 1/1/1</t>
  </si>
  <si>
    <t>Сочи (1,25"х150) 1/1/1</t>
  </si>
  <si>
    <t>Огни Москвы (1"х200) 1/1/1</t>
  </si>
  <si>
    <t>Очень важная персона (1"х300) 1/1/1</t>
  </si>
  <si>
    <t>Эксклюзив (1,25"х200) 1/1/1</t>
  </si>
  <si>
    <t>Москва Златоглавая (1,25"х150) 1/1/1</t>
  </si>
  <si>
    <t>Медный всадник (1,25"х150) 1/1/1</t>
  </si>
  <si>
    <t>Ромео и Джульетта (1,25"х150) 1/1/1</t>
  </si>
  <si>
    <t>Подмосковные вечера (1,25"х250) 1/1/1</t>
  </si>
  <si>
    <t>Артикул</t>
  </si>
  <si>
    <t>Наименование</t>
  </si>
  <si>
    <t>Изображение</t>
  </si>
  <si>
    <t>А 4180</t>
  </si>
  <si>
    <t>Галактика Млечный Путь19 (1,25"х19) 1/6/1</t>
  </si>
  <si>
    <t>Галактика Млечный Путь 25 (1,25х25) 1/4/1</t>
  </si>
  <si>
    <t>Галактика Млечный Путь 49 (1,25"х49) 1/2/1</t>
  </si>
  <si>
    <t>Базовая цена 1 шт</t>
  </si>
  <si>
    <t>ПЕТАРДЫ ТЕРОЧНЫЕ</t>
  </si>
  <si>
    <t>ПЕТАРДЫ ФИТИЛЬНЫЕ</t>
  </si>
  <si>
    <t>ИТОГО ПЕТАРДЫ</t>
  </si>
  <si>
    <t>Общая цена</t>
  </si>
  <si>
    <t>НАЗЕМНЫЕ И ЛЕТАЮЩИЕ ФЕЙЕРВЕРКИ</t>
  </si>
  <si>
    <t>0</t>
  </si>
  <si>
    <t>РАКЕТЫ</t>
  </si>
  <si>
    <t>ФОНТАНЫ</t>
  </si>
  <si>
    <t>ИТОГО ФЕЙЕРВЕРКИ, РАКЕТЫ, ФОНТАНЫ</t>
  </si>
  <si>
    <t>РИМСКИЕ СВЕЧИ</t>
  </si>
  <si>
    <t>ФЕСТИВАЛЬНЫЕ ШАРЫ</t>
  </si>
  <si>
    <t>ИТОГО РИМСКИЕ СВЕЧИ, ФЕСТИВАЛЬНЫЕ ШАРЫ</t>
  </si>
  <si>
    <t>БАТАРЕЯ САЛЮТОВ</t>
  </si>
  <si>
    <t>ИТОГО БАТАРЕЯ САЛЮТОВ</t>
  </si>
  <si>
    <t>ВСЕГО</t>
  </si>
  <si>
    <t>Объем м3</t>
  </si>
  <si>
    <t>Общий вес в кг</t>
  </si>
  <si>
    <t>ЗАКАЗ</t>
  </si>
  <si>
    <t xml:space="preserve">Количество </t>
  </si>
  <si>
    <t>А 6040</t>
  </si>
  <si>
    <t>600</t>
  </si>
  <si>
    <t>200</t>
  </si>
  <si>
    <t>50</t>
  </si>
  <si>
    <t>6</t>
  </si>
  <si>
    <t>1</t>
  </si>
  <si>
    <t>Миним. Кол-во в штуках</t>
  </si>
  <si>
    <t>Корсар 1 спички 24/60/10</t>
  </si>
  <si>
    <t>Корсар 1 с эффектом 3 хлопка                25/20/30</t>
  </si>
  <si>
    <t>72</t>
  </si>
  <si>
    <t>36</t>
  </si>
  <si>
    <t>5</t>
  </si>
  <si>
    <t>288</t>
  </si>
  <si>
    <t>20</t>
  </si>
  <si>
    <t>40</t>
  </si>
  <si>
    <t>10</t>
  </si>
  <si>
    <t>2500</t>
  </si>
  <si>
    <t>12</t>
  </si>
  <si>
    <t xml:space="preserve">6 </t>
  </si>
  <si>
    <t xml:space="preserve">5 </t>
  </si>
  <si>
    <t xml:space="preserve">Корсар 4 </t>
  </si>
  <si>
    <t xml:space="preserve">12 </t>
  </si>
  <si>
    <t>144</t>
  </si>
  <si>
    <t>9</t>
  </si>
  <si>
    <t>21</t>
  </si>
  <si>
    <t>4</t>
  </si>
  <si>
    <t>8</t>
  </si>
  <si>
    <t>2</t>
  </si>
  <si>
    <t>Галактика Млечный Путь</t>
  </si>
  <si>
    <t>ООО "ТД Галактика"</t>
  </si>
  <si>
    <t>115093, г. Москва, Подольское ш., дом 8, корпус 5</t>
  </si>
  <si>
    <t>www.galaktikaopt.ru</t>
  </si>
  <si>
    <t>zakaz@galaktikaopt.ru</t>
  </si>
  <si>
    <t>МИНИМАЛЬНЫЙ ЗАКАЗ СО СКИДКОЙ 5000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</si>
</sst>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\ &quot;₽&quot;"/>
  </numFmts>
  <fonts count="15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26"/>
      <name val="Arial"/>
      <family val="2"/>
      <charset val="204"/>
    </font>
    <font>
      <sz val="32"/>
      <name val="Arial"/>
      <family val="2"/>
      <charset val="204"/>
    </font>
    <font>
      <b/>
      <sz val="16"/>
      <name val="Arial"/>
      <family val="2"/>
      <charset val="204"/>
    </font>
    <font>
      <b/>
      <sz val="1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10"/>
      <name val="Arial"/>
      <family val="2"/>
      <charset val="204"/>
    </font>
    <font>
      <sz val="22"/>
      <color theme="1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8D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/>
    <xf numFmtId="0" fontId="0" fillId="0" borderId="0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/>
    <xf numFmtId="164" fontId="0" fillId="0" borderId="2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/>
    <xf numFmtId="164" fontId="0" fillId="0" borderId="1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1" applyNumberFormat="1" applyFont="1" applyAlignment="1" applyProtection="1"/>
    <xf numFmtId="49" fontId="12" fillId="0" borderId="0" xfId="1" applyNumberFormat="1" applyFont="1" applyAlignment="1" applyProtection="1"/>
    <xf numFmtId="0" fontId="11" fillId="0" borderId="0" xfId="1" applyAlignment="1" applyProtection="1"/>
    <xf numFmtId="0" fontId="0" fillId="0" borderId="0" xfId="0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9" fontId="0" fillId="4" borderId="20" xfId="0" applyNumberFormat="1" applyFill="1" applyBorder="1" applyAlignment="1">
      <alignment horizontal="center" vertical="center" wrapText="1"/>
    </xf>
    <xf numFmtId="9" fontId="0" fillId="3" borderId="20" xfId="0" applyNumberFormat="1" applyFill="1" applyBorder="1" applyAlignment="1">
      <alignment horizontal="center" vertical="center" wrapText="1"/>
    </xf>
    <xf numFmtId="9" fontId="0" fillId="3" borderId="20" xfId="0" applyNumberForma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1" fillId="0" borderId="0" xfId="1" applyAlignment="1" applyProtection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14" fillId="4" borderId="3" xfId="1" applyFont="1" applyFill="1" applyBorder="1" applyAlignment="1" applyProtection="1">
      <alignment horizontal="center" vertical="center" wrapText="1"/>
    </xf>
    <xf numFmtId="0" fontId="11" fillId="4" borderId="4" xfId="1" applyFill="1" applyBorder="1" applyAlignment="1" applyProtection="1">
      <alignment horizontal="center" vertical="center" wrapText="1"/>
    </xf>
    <xf numFmtId="0" fontId="11" fillId="4" borderId="4" xfId="1" applyFont="1" applyFill="1" applyBorder="1" applyAlignment="1" applyProtection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08DE7"/>
      <color rgb="FFEAEAEA"/>
      <color rgb="FFFFFF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g"/><Relationship Id="rId201" Type="http://schemas.openxmlformats.org/officeDocument/2006/relationships/image" Target="../media/image201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25</xdr:row>
      <xdr:rowOff>38101</xdr:rowOff>
    </xdr:from>
    <xdr:to>
      <xdr:col>2</xdr:col>
      <xdr:colOff>990723</xdr:colOff>
      <xdr:row>25</xdr:row>
      <xdr:rowOff>1066800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0629901"/>
          <a:ext cx="933572" cy="10286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27</xdr:row>
      <xdr:rowOff>47625</xdr:rowOff>
    </xdr:from>
    <xdr:to>
      <xdr:col>2</xdr:col>
      <xdr:colOff>936647</xdr:colOff>
      <xdr:row>27</xdr:row>
      <xdr:rowOff>933450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5811500"/>
          <a:ext cx="879497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28</xdr:row>
      <xdr:rowOff>66676</xdr:rowOff>
    </xdr:from>
    <xdr:to>
      <xdr:col>2</xdr:col>
      <xdr:colOff>916305</xdr:colOff>
      <xdr:row>28</xdr:row>
      <xdr:rowOff>933450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6935451"/>
          <a:ext cx="859154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29</xdr:row>
      <xdr:rowOff>28575</xdr:rowOff>
    </xdr:from>
    <xdr:to>
      <xdr:col>2</xdr:col>
      <xdr:colOff>848484</xdr:colOff>
      <xdr:row>29</xdr:row>
      <xdr:rowOff>857250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2" y="17907000"/>
          <a:ext cx="791332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30</xdr:row>
      <xdr:rowOff>76201</xdr:rowOff>
    </xdr:from>
    <xdr:to>
      <xdr:col>2</xdr:col>
      <xdr:colOff>862268</xdr:colOff>
      <xdr:row>30</xdr:row>
      <xdr:rowOff>847725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18764251"/>
          <a:ext cx="776543" cy="77152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31</xdr:row>
      <xdr:rowOff>28576</xdr:rowOff>
    </xdr:from>
    <xdr:to>
      <xdr:col>2</xdr:col>
      <xdr:colOff>1000125</xdr:colOff>
      <xdr:row>31</xdr:row>
      <xdr:rowOff>914642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9602451"/>
          <a:ext cx="933450" cy="8860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32</xdr:row>
      <xdr:rowOff>47625</xdr:rowOff>
    </xdr:from>
    <xdr:to>
      <xdr:col>2</xdr:col>
      <xdr:colOff>962333</xdr:colOff>
      <xdr:row>32</xdr:row>
      <xdr:rowOff>809625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0659725"/>
          <a:ext cx="848032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33</xdr:row>
      <xdr:rowOff>76200</xdr:rowOff>
    </xdr:from>
    <xdr:to>
      <xdr:col>2</xdr:col>
      <xdr:colOff>965100</xdr:colOff>
      <xdr:row>33</xdr:row>
      <xdr:rowOff>923925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21621750"/>
          <a:ext cx="917474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38101</xdr:rowOff>
    </xdr:from>
    <xdr:to>
      <xdr:col>2</xdr:col>
      <xdr:colOff>1152525</xdr:colOff>
      <xdr:row>34</xdr:row>
      <xdr:rowOff>1031427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24660226"/>
          <a:ext cx="1085850" cy="993326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35</xdr:row>
      <xdr:rowOff>57150</xdr:rowOff>
    </xdr:from>
    <xdr:to>
      <xdr:col>2</xdr:col>
      <xdr:colOff>1074670</xdr:colOff>
      <xdr:row>35</xdr:row>
      <xdr:rowOff>1009650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6" y="25736550"/>
          <a:ext cx="931794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36</xdr:row>
      <xdr:rowOff>47626</xdr:rowOff>
    </xdr:from>
    <xdr:to>
      <xdr:col>2</xdr:col>
      <xdr:colOff>1084715</xdr:colOff>
      <xdr:row>36</xdr:row>
      <xdr:rowOff>1076325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1" y="28032076"/>
          <a:ext cx="1018039" cy="102869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39</xdr:row>
      <xdr:rowOff>57150</xdr:rowOff>
    </xdr:from>
    <xdr:to>
      <xdr:col>2</xdr:col>
      <xdr:colOff>1192320</xdr:colOff>
      <xdr:row>39</xdr:row>
      <xdr:rowOff>1009649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7832050"/>
          <a:ext cx="1135170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40</xdr:row>
      <xdr:rowOff>19050</xdr:rowOff>
    </xdr:from>
    <xdr:to>
      <xdr:col>2</xdr:col>
      <xdr:colOff>1035957</xdr:colOff>
      <xdr:row>40</xdr:row>
      <xdr:rowOff>923925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29003625"/>
          <a:ext cx="997856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41</xdr:row>
      <xdr:rowOff>66674</xdr:rowOff>
    </xdr:from>
    <xdr:to>
      <xdr:col>2</xdr:col>
      <xdr:colOff>1295956</xdr:colOff>
      <xdr:row>41</xdr:row>
      <xdr:rowOff>781049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30156149"/>
          <a:ext cx="125785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42</xdr:row>
      <xdr:rowOff>28577</xdr:rowOff>
    </xdr:from>
    <xdr:to>
      <xdr:col>2</xdr:col>
      <xdr:colOff>1074744</xdr:colOff>
      <xdr:row>42</xdr:row>
      <xdr:rowOff>962025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49" y="30765752"/>
          <a:ext cx="1036645" cy="9334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43</xdr:row>
      <xdr:rowOff>28575</xdr:rowOff>
    </xdr:from>
    <xdr:to>
      <xdr:col>2</xdr:col>
      <xdr:colOff>1159757</xdr:colOff>
      <xdr:row>43</xdr:row>
      <xdr:rowOff>1095375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1" y="31756350"/>
          <a:ext cx="1083556" cy="10668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47627</xdr:colOff>
      <xdr:row>44</xdr:row>
      <xdr:rowOff>114301</xdr:rowOff>
    </xdr:from>
    <xdr:to>
      <xdr:col>2</xdr:col>
      <xdr:colOff>1348989</xdr:colOff>
      <xdr:row>44</xdr:row>
      <xdr:rowOff>876300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2" y="35337751"/>
          <a:ext cx="1301362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45</xdr:row>
      <xdr:rowOff>28575</xdr:rowOff>
    </xdr:from>
    <xdr:to>
      <xdr:col>2</xdr:col>
      <xdr:colOff>1390650</xdr:colOff>
      <xdr:row>45</xdr:row>
      <xdr:rowOff>820591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1" y="33813750"/>
          <a:ext cx="1314449" cy="79201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57153</xdr:colOff>
      <xdr:row>47</xdr:row>
      <xdr:rowOff>57152</xdr:rowOff>
    </xdr:from>
    <xdr:to>
      <xdr:col>2</xdr:col>
      <xdr:colOff>1404974</xdr:colOff>
      <xdr:row>47</xdr:row>
      <xdr:rowOff>885825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3" y="35747327"/>
          <a:ext cx="1347821" cy="82867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48</xdr:row>
      <xdr:rowOff>95251</xdr:rowOff>
    </xdr:from>
    <xdr:to>
      <xdr:col>2</xdr:col>
      <xdr:colOff>1426069</xdr:colOff>
      <xdr:row>48</xdr:row>
      <xdr:rowOff>876300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36814126"/>
          <a:ext cx="1387968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49</xdr:row>
      <xdr:rowOff>28576</xdr:rowOff>
    </xdr:from>
    <xdr:to>
      <xdr:col>2</xdr:col>
      <xdr:colOff>1332945</xdr:colOff>
      <xdr:row>49</xdr:row>
      <xdr:rowOff>866776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37919026"/>
          <a:ext cx="1285320" cy="838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50</xdr:row>
      <xdr:rowOff>85727</xdr:rowOff>
    </xdr:from>
    <xdr:to>
      <xdr:col>2</xdr:col>
      <xdr:colOff>1428750</xdr:colOff>
      <xdr:row>50</xdr:row>
      <xdr:rowOff>905889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1" y="38728652"/>
          <a:ext cx="1352549" cy="82016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51</xdr:row>
      <xdr:rowOff>57151</xdr:rowOff>
    </xdr:from>
    <xdr:to>
      <xdr:col>2</xdr:col>
      <xdr:colOff>1418695</xdr:colOff>
      <xdr:row>51</xdr:row>
      <xdr:rowOff>876300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1" y="39728776"/>
          <a:ext cx="1342494" cy="8191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47627</xdr:colOff>
      <xdr:row>52</xdr:row>
      <xdr:rowOff>47625</xdr:rowOff>
    </xdr:from>
    <xdr:to>
      <xdr:col>2</xdr:col>
      <xdr:colOff>1452479</xdr:colOff>
      <xdr:row>52</xdr:row>
      <xdr:rowOff>828674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7" y="40757475"/>
          <a:ext cx="1404852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54</xdr:row>
      <xdr:rowOff>38102</xdr:rowOff>
    </xdr:from>
    <xdr:to>
      <xdr:col>2</xdr:col>
      <xdr:colOff>1111936</xdr:colOff>
      <xdr:row>54</xdr:row>
      <xdr:rowOff>962025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41871902"/>
          <a:ext cx="1007160" cy="923923"/>
        </a:xfrm>
        <a:prstGeom prst="rect">
          <a:avLst/>
        </a:prstGeom>
      </xdr:spPr>
    </xdr:pic>
    <xdr:clientData/>
  </xdr:twoCellAnchor>
  <xdr:twoCellAnchor editAs="oneCell">
    <xdr:from>
      <xdr:col>2</xdr:col>
      <xdr:colOff>66677</xdr:colOff>
      <xdr:row>55</xdr:row>
      <xdr:rowOff>57151</xdr:rowOff>
    </xdr:from>
    <xdr:to>
      <xdr:col>2</xdr:col>
      <xdr:colOff>1095375</xdr:colOff>
      <xdr:row>55</xdr:row>
      <xdr:rowOff>1058197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7" y="42910126"/>
          <a:ext cx="1028698" cy="100104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47627</xdr:colOff>
      <xdr:row>56</xdr:row>
      <xdr:rowOff>9526</xdr:rowOff>
    </xdr:from>
    <xdr:to>
      <xdr:col>2</xdr:col>
      <xdr:colOff>951907</xdr:colOff>
      <xdr:row>56</xdr:row>
      <xdr:rowOff>942976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2" y="47358301"/>
          <a:ext cx="90428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57</xdr:row>
      <xdr:rowOff>85725</xdr:rowOff>
    </xdr:from>
    <xdr:to>
      <xdr:col>2</xdr:col>
      <xdr:colOff>866775</xdr:colOff>
      <xdr:row>57</xdr:row>
      <xdr:rowOff>944715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45158025"/>
          <a:ext cx="752475" cy="85899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58</xdr:row>
      <xdr:rowOff>57152</xdr:rowOff>
    </xdr:from>
    <xdr:to>
      <xdr:col>2</xdr:col>
      <xdr:colOff>715193</xdr:colOff>
      <xdr:row>58</xdr:row>
      <xdr:rowOff>809626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46139102"/>
          <a:ext cx="610418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60</xdr:row>
      <xdr:rowOff>38101</xdr:rowOff>
    </xdr:from>
    <xdr:to>
      <xdr:col>2</xdr:col>
      <xdr:colOff>923726</xdr:colOff>
      <xdr:row>60</xdr:row>
      <xdr:rowOff>819150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47853601"/>
          <a:ext cx="838001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61</xdr:row>
      <xdr:rowOff>57152</xdr:rowOff>
    </xdr:from>
    <xdr:to>
      <xdr:col>2</xdr:col>
      <xdr:colOff>800394</xdr:colOff>
      <xdr:row>61</xdr:row>
      <xdr:rowOff>723900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48758477"/>
          <a:ext cx="628944" cy="66674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62</xdr:row>
      <xdr:rowOff>47626</xdr:rowOff>
    </xdr:from>
    <xdr:to>
      <xdr:col>2</xdr:col>
      <xdr:colOff>899940</xdr:colOff>
      <xdr:row>62</xdr:row>
      <xdr:rowOff>771526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49530001"/>
          <a:ext cx="795164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63</xdr:row>
      <xdr:rowOff>28576</xdr:rowOff>
    </xdr:from>
    <xdr:to>
      <xdr:col>2</xdr:col>
      <xdr:colOff>915689</xdr:colOff>
      <xdr:row>63</xdr:row>
      <xdr:rowOff>847725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50330101"/>
          <a:ext cx="849013" cy="8191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64</xdr:row>
      <xdr:rowOff>66675</xdr:rowOff>
    </xdr:from>
    <xdr:to>
      <xdr:col>2</xdr:col>
      <xdr:colOff>1155830</xdr:colOff>
      <xdr:row>64</xdr:row>
      <xdr:rowOff>685800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51311175"/>
          <a:ext cx="1089154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67</xdr:row>
      <xdr:rowOff>76201</xdr:rowOff>
    </xdr:from>
    <xdr:to>
      <xdr:col>2</xdr:col>
      <xdr:colOff>628650</xdr:colOff>
      <xdr:row>67</xdr:row>
      <xdr:rowOff>794791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52092226"/>
          <a:ext cx="561974" cy="71859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68</xdr:row>
      <xdr:rowOff>57150</xdr:rowOff>
    </xdr:from>
    <xdr:to>
      <xdr:col>2</xdr:col>
      <xdr:colOff>917187</xdr:colOff>
      <xdr:row>68</xdr:row>
      <xdr:rowOff>962025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53863875"/>
          <a:ext cx="793362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69</xdr:row>
      <xdr:rowOff>47626</xdr:rowOff>
    </xdr:from>
    <xdr:to>
      <xdr:col>2</xdr:col>
      <xdr:colOff>895350</xdr:colOff>
      <xdr:row>69</xdr:row>
      <xdr:rowOff>893230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54844951"/>
          <a:ext cx="838201" cy="8456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70</xdr:row>
      <xdr:rowOff>38101</xdr:rowOff>
    </xdr:from>
    <xdr:to>
      <xdr:col>2</xdr:col>
      <xdr:colOff>778270</xdr:colOff>
      <xdr:row>70</xdr:row>
      <xdr:rowOff>800100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55806976"/>
          <a:ext cx="692545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71</xdr:row>
      <xdr:rowOff>38100</xdr:rowOff>
    </xdr:from>
    <xdr:to>
      <xdr:col>2</xdr:col>
      <xdr:colOff>907586</xdr:colOff>
      <xdr:row>71</xdr:row>
      <xdr:rowOff>838200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56711850"/>
          <a:ext cx="812335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72</xdr:row>
      <xdr:rowOff>66677</xdr:rowOff>
    </xdr:from>
    <xdr:to>
      <xdr:col>2</xdr:col>
      <xdr:colOff>900861</xdr:colOff>
      <xdr:row>72</xdr:row>
      <xdr:rowOff>847725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57645302"/>
          <a:ext cx="824660" cy="7810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74</xdr:row>
      <xdr:rowOff>95250</xdr:rowOff>
    </xdr:from>
    <xdr:to>
      <xdr:col>2</xdr:col>
      <xdr:colOff>996215</xdr:colOff>
      <xdr:row>74</xdr:row>
      <xdr:rowOff>800100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59502675"/>
          <a:ext cx="920014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73</xdr:row>
      <xdr:rowOff>47626</xdr:rowOff>
    </xdr:from>
    <xdr:to>
      <xdr:col>2</xdr:col>
      <xdr:colOff>1012695</xdr:colOff>
      <xdr:row>73</xdr:row>
      <xdr:rowOff>828675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8550176"/>
          <a:ext cx="907920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86</xdr:row>
      <xdr:rowOff>9526</xdr:rowOff>
    </xdr:from>
    <xdr:to>
      <xdr:col>2</xdr:col>
      <xdr:colOff>952500</xdr:colOff>
      <xdr:row>86</xdr:row>
      <xdr:rowOff>855288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70065901"/>
          <a:ext cx="904875" cy="84576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87</xdr:row>
      <xdr:rowOff>57150</xdr:rowOff>
    </xdr:from>
    <xdr:to>
      <xdr:col>2</xdr:col>
      <xdr:colOff>847725</xdr:colOff>
      <xdr:row>87</xdr:row>
      <xdr:rowOff>778461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71008875"/>
          <a:ext cx="762000" cy="72131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88</xdr:row>
      <xdr:rowOff>28577</xdr:rowOff>
    </xdr:from>
    <xdr:to>
      <xdr:col>2</xdr:col>
      <xdr:colOff>1084052</xdr:colOff>
      <xdr:row>88</xdr:row>
      <xdr:rowOff>781051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71818502"/>
          <a:ext cx="1017376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89</xdr:row>
      <xdr:rowOff>57150</xdr:rowOff>
    </xdr:from>
    <xdr:to>
      <xdr:col>2</xdr:col>
      <xdr:colOff>828675</xdr:colOff>
      <xdr:row>89</xdr:row>
      <xdr:rowOff>782864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72704325"/>
          <a:ext cx="762000" cy="72571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90</xdr:row>
      <xdr:rowOff>47627</xdr:rowOff>
    </xdr:from>
    <xdr:to>
      <xdr:col>2</xdr:col>
      <xdr:colOff>819150</xdr:colOff>
      <xdr:row>90</xdr:row>
      <xdr:rowOff>767385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73513952"/>
          <a:ext cx="752475" cy="719758"/>
        </a:xfrm>
        <a:prstGeom prst="rect">
          <a:avLst/>
        </a:prstGeom>
      </xdr:spPr>
    </xdr:pic>
    <xdr:clientData/>
  </xdr:twoCellAnchor>
  <xdr:twoCellAnchor editAs="oneCell">
    <xdr:from>
      <xdr:col>2</xdr:col>
      <xdr:colOff>48684</xdr:colOff>
      <xdr:row>80</xdr:row>
      <xdr:rowOff>38101</xdr:rowOff>
    </xdr:from>
    <xdr:to>
      <xdr:col>2</xdr:col>
      <xdr:colOff>1028700</xdr:colOff>
      <xdr:row>80</xdr:row>
      <xdr:rowOff>928207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1184" y="64598551"/>
          <a:ext cx="980016" cy="890106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93</xdr:row>
      <xdr:rowOff>76200</xdr:rowOff>
    </xdr:from>
    <xdr:to>
      <xdr:col>2</xdr:col>
      <xdr:colOff>1000220</xdr:colOff>
      <xdr:row>93</xdr:row>
      <xdr:rowOff>828675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75999975"/>
          <a:ext cx="895445" cy="7524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94</xdr:row>
      <xdr:rowOff>28576</xdr:rowOff>
    </xdr:from>
    <xdr:to>
      <xdr:col>2</xdr:col>
      <xdr:colOff>904692</xdr:colOff>
      <xdr:row>94</xdr:row>
      <xdr:rowOff>781050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76866751"/>
          <a:ext cx="857066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75</xdr:row>
      <xdr:rowOff>85726</xdr:rowOff>
    </xdr:from>
    <xdr:to>
      <xdr:col>2</xdr:col>
      <xdr:colOff>971550</xdr:colOff>
      <xdr:row>75</xdr:row>
      <xdr:rowOff>918792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60359926"/>
          <a:ext cx="904874" cy="83306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76</xdr:row>
      <xdr:rowOff>38102</xdr:rowOff>
    </xdr:from>
    <xdr:to>
      <xdr:col>2</xdr:col>
      <xdr:colOff>953679</xdr:colOff>
      <xdr:row>76</xdr:row>
      <xdr:rowOff>828676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61312427"/>
          <a:ext cx="896528" cy="790574"/>
        </a:xfrm>
        <a:prstGeom prst="rect">
          <a:avLst/>
        </a:prstGeom>
      </xdr:spPr>
    </xdr:pic>
    <xdr:clientData/>
  </xdr:twoCellAnchor>
  <xdr:twoCellAnchor editAs="oneCell">
    <xdr:from>
      <xdr:col>2</xdr:col>
      <xdr:colOff>43816</xdr:colOff>
      <xdr:row>77</xdr:row>
      <xdr:rowOff>38101</xdr:rowOff>
    </xdr:from>
    <xdr:to>
      <xdr:col>2</xdr:col>
      <xdr:colOff>982599</xdr:colOff>
      <xdr:row>77</xdr:row>
      <xdr:rowOff>771525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316" y="62274451"/>
          <a:ext cx="938783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78</xdr:row>
      <xdr:rowOff>47625</xdr:rowOff>
    </xdr:from>
    <xdr:to>
      <xdr:col>2</xdr:col>
      <xdr:colOff>877353</xdr:colOff>
      <xdr:row>78</xdr:row>
      <xdr:rowOff>733424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63103125"/>
          <a:ext cx="820202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79</xdr:row>
      <xdr:rowOff>66675</xdr:rowOff>
    </xdr:from>
    <xdr:to>
      <xdr:col>2</xdr:col>
      <xdr:colOff>949997</xdr:colOff>
      <xdr:row>79</xdr:row>
      <xdr:rowOff>800101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63779400"/>
          <a:ext cx="864272" cy="73342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81</xdr:row>
      <xdr:rowOff>47627</xdr:rowOff>
    </xdr:from>
    <xdr:to>
      <xdr:col>2</xdr:col>
      <xdr:colOff>1016053</xdr:colOff>
      <xdr:row>81</xdr:row>
      <xdr:rowOff>904875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1" y="65598677"/>
          <a:ext cx="977952" cy="85724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82</xdr:row>
      <xdr:rowOff>95251</xdr:rowOff>
    </xdr:from>
    <xdr:to>
      <xdr:col>2</xdr:col>
      <xdr:colOff>971550</xdr:colOff>
      <xdr:row>82</xdr:row>
      <xdr:rowOff>885481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66589276"/>
          <a:ext cx="904874" cy="79023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83</xdr:row>
      <xdr:rowOff>47627</xdr:rowOff>
    </xdr:from>
    <xdr:to>
      <xdr:col>2</xdr:col>
      <xdr:colOff>942976</xdr:colOff>
      <xdr:row>83</xdr:row>
      <xdr:rowOff>836815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2" y="67484627"/>
          <a:ext cx="885824" cy="78918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91</xdr:row>
      <xdr:rowOff>76201</xdr:rowOff>
    </xdr:from>
    <xdr:to>
      <xdr:col>2</xdr:col>
      <xdr:colOff>962025</xdr:colOff>
      <xdr:row>91</xdr:row>
      <xdr:rowOff>785932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74361676"/>
          <a:ext cx="876300" cy="709731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92</xdr:row>
      <xdr:rowOff>38101</xdr:rowOff>
    </xdr:from>
    <xdr:to>
      <xdr:col>2</xdr:col>
      <xdr:colOff>1069326</xdr:colOff>
      <xdr:row>92</xdr:row>
      <xdr:rowOff>800100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75152251"/>
          <a:ext cx="983601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95</xdr:row>
      <xdr:rowOff>57151</xdr:rowOff>
    </xdr:from>
    <xdr:to>
      <xdr:col>2</xdr:col>
      <xdr:colOff>921112</xdr:colOff>
      <xdr:row>95</xdr:row>
      <xdr:rowOff>819150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77743051"/>
          <a:ext cx="844911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96</xdr:row>
      <xdr:rowOff>57150</xdr:rowOff>
    </xdr:from>
    <xdr:to>
      <xdr:col>2</xdr:col>
      <xdr:colOff>1056882</xdr:colOff>
      <xdr:row>96</xdr:row>
      <xdr:rowOff>876300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78695550"/>
          <a:ext cx="971157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84</xdr:row>
      <xdr:rowOff>57151</xdr:rowOff>
    </xdr:from>
    <xdr:to>
      <xdr:col>2</xdr:col>
      <xdr:colOff>1104571</xdr:colOff>
      <xdr:row>84</xdr:row>
      <xdr:rowOff>790575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68370451"/>
          <a:ext cx="101884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97</xdr:row>
      <xdr:rowOff>66675</xdr:rowOff>
    </xdr:from>
    <xdr:to>
      <xdr:col>2</xdr:col>
      <xdr:colOff>1093108</xdr:colOff>
      <xdr:row>97</xdr:row>
      <xdr:rowOff>857250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79667100"/>
          <a:ext cx="978807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123827</xdr:colOff>
      <xdr:row>98</xdr:row>
      <xdr:rowOff>104776</xdr:rowOff>
    </xdr:from>
    <xdr:to>
      <xdr:col>2</xdr:col>
      <xdr:colOff>1028701</xdr:colOff>
      <xdr:row>98</xdr:row>
      <xdr:rowOff>862806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7" y="80591026"/>
          <a:ext cx="904874" cy="75803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99</xdr:row>
      <xdr:rowOff>28575</xdr:rowOff>
    </xdr:from>
    <xdr:to>
      <xdr:col>2</xdr:col>
      <xdr:colOff>1058124</xdr:colOff>
      <xdr:row>99</xdr:row>
      <xdr:rowOff>971550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81400650"/>
          <a:ext cx="943823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100</xdr:row>
      <xdr:rowOff>47625</xdr:rowOff>
    </xdr:from>
    <xdr:to>
      <xdr:col>2</xdr:col>
      <xdr:colOff>1175569</xdr:colOff>
      <xdr:row>100</xdr:row>
      <xdr:rowOff>828675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82467450"/>
          <a:ext cx="1070794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101</xdr:row>
      <xdr:rowOff>57151</xdr:rowOff>
    </xdr:from>
    <xdr:to>
      <xdr:col>2</xdr:col>
      <xdr:colOff>996754</xdr:colOff>
      <xdr:row>101</xdr:row>
      <xdr:rowOff>857250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83372326"/>
          <a:ext cx="939603" cy="800099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102</xdr:row>
      <xdr:rowOff>57151</xdr:rowOff>
    </xdr:from>
    <xdr:to>
      <xdr:col>2</xdr:col>
      <xdr:colOff>1014054</xdr:colOff>
      <xdr:row>102</xdr:row>
      <xdr:rowOff>819151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84267676"/>
          <a:ext cx="880704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103</xdr:row>
      <xdr:rowOff>76201</xdr:rowOff>
    </xdr:from>
    <xdr:to>
      <xdr:col>2</xdr:col>
      <xdr:colOff>895176</xdr:colOff>
      <xdr:row>103</xdr:row>
      <xdr:rowOff>781051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85163026"/>
          <a:ext cx="838025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104</xdr:row>
      <xdr:rowOff>57150</xdr:rowOff>
    </xdr:from>
    <xdr:to>
      <xdr:col>2</xdr:col>
      <xdr:colOff>1148657</xdr:colOff>
      <xdr:row>104</xdr:row>
      <xdr:rowOff>771525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85972650"/>
          <a:ext cx="1110557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105</xdr:row>
      <xdr:rowOff>47625</xdr:rowOff>
    </xdr:from>
    <xdr:to>
      <xdr:col>2</xdr:col>
      <xdr:colOff>1140965</xdr:colOff>
      <xdr:row>105</xdr:row>
      <xdr:rowOff>781051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86753700"/>
          <a:ext cx="1093340" cy="73342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107</xdr:row>
      <xdr:rowOff>66678</xdr:rowOff>
    </xdr:from>
    <xdr:to>
      <xdr:col>2</xdr:col>
      <xdr:colOff>972402</xdr:colOff>
      <xdr:row>107</xdr:row>
      <xdr:rowOff>895350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2" y="87610953"/>
          <a:ext cx="915250" cy="82867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109</xdr:row>
      <xdr:rowOff>85726</xdr:rowOff>
    </xdr:from>
    <xdr:to>
      <xdr:col>2</xdr:col>
      <xdr:colOff>1022625</xdr:colOff>
      <xdr:row>109</xdr:row>
      <xdr:rowOff>733425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94307026"/>
          <a:ext cx="965474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112</xdr:row>
      <xdr:rowOff>104775</xdr:rowOff>
    </xdr:from>
    <xdr:to>
      <xdr:col>2</xdr:col>
      <xdr:colOff>877078</xdr:colOff>
      <xdr:row>112</xdr:row>
      <xdr:rowOff>752475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90420825"/>
          <a:ext cx="829452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113</xdr:row>
      <xdr:rowOff>104776</xdr:rowOff>
    </xdr:from>
    <xdr:to>
      <xdr:col>2</xdr:col>
      <xdr:colOff>933450</xdr:colOff>
      <xdr:row>113</xdr:row>
      <xdr:rowOff>823286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91278076"/>
          <a:ext cx="866774" cy="71851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114</xdr:row>
      <xdr:rowOff>28575</xdr:rowOff>
    </xdr:from>
    <xdr:to>
      <xdr:col>2</xdr:col>
      <xdr:colOff>1053194</xdr:colOff>
      <xdr:row>114</xdr:row>
      <xdr:rowOff>828675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92106750"/>
          <a:ext cx="996043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115</xdr:row>
      <xdr:rowOff>47623</xdr:rowOff>
    </xdr:from>
    <xdr:to>
      <xdr:col>2</xdr:col>
      <xdr:colOff>879479</xdr:colOff>
      <xdr:row>115</xdr:row>
      <xdr:rowOff>952501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92973523"/>
          <a:ext cx="784228" cy="904878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116</xdr:row>
      <xdr:rowOff>76201</xdr:rowOff>
    </xdr:from>
    <xdr:to>
      <xdr:col>2</xdr:col>
      <xdr:colOff>736332</xdr:colOff>
      <xdr:row>116</xdr:row>
      <xdr:rowOff>704850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95002351"/>
          <a:ext cx="679181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117</xdr:row>
      <xdr:rowOff>85726</xdr:rowOff>
    </xdr:from>
    <xdr:to>
      <xdr:col>2</xdr:col>
      <xdr:colOff>987425</xdr:colOff>
      <xdr:row>117</xdr:row>
      <xdr:rowOff>885826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95840551"/>
          <a:ext cx="93980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118</xdr:row>
      <xdr:rowOff>85726</xdr:rowOff>
    </xdr:from>
    <xdr:to>
      <xdr:col>2</xdr:col>
      <xdr:colOff>912171</xdr:colOff>
      <xdr:row>118</xdr:row>
      <xdr:rowOff>885825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96735901"/>
          <a:ext cx="835970" cy="80009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85</xdr:row>
      <xdr:rowOff>47626</xdr:rowOff>
    </xdr:from>
    <xdr:to>
      <xdr:col>2</xdr:col>
      <xdr:colOff>1028009</xdr:colOff>
      <xdr:row>85</xdr:row>
      <xdr:rowOff>847725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69227701"/>
          <a:ext cx="932758" cy="80009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119</xdr:row>
      <xdr:rowOff>38101</xdr:rowOff>
    </xdr:from>
    <xdr:to>
      <xdr:col>2</xdr:col>
      <xdr:colOff>971550</xdr:colOff>
      <xdr:row>119</xdr:row>
      <xdr:rowOff>765162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97621726"/>
          <a:ext cx="876299" cy="72706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120</xdr:row>
      <xdr:rowOff>57152</xdr:rowOff>
    </xdr:from>
    <xdr:to>
      <xdr:col>2</xdr:col>
      <xdr:colOff>1016646</xdr:colOff>
      <xdr:row>120</xdr:row>
      <xdr:rowOff>904876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2" y="98583752"/>
          <a:ext cx="940444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114302</xdr:colOff>
      <xdr:row>121</xdr:row>
      <xdr:rowOff>76201</xdr:rowOff>
    </xdr:from>
    <xdr:to>
      <xdr:col>2</xdr:col>
      <xdr:colOff>1013940</xdr:colOff>
      <xdr:row>121</xdr:row>
      <xdr:rowOff>857250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2" y="99555301"/>
          <a:ext cx="899638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122</xdr:row>
      <xdr:rowOff>66677</xdr:rowOff>
    </xdr:from>
    <xdr:to>
      <xdr:col>2</xdr:col>
      <xdr:colOff>930553</xdr:colOff>
      <xdr:row>122</xdr:row>
      <xdr:rowOff>876301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00469702"/>
          <a:ext cx="863877" cy="80962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123</xdr:row>
      <xdr:rowOff>47626</xdr:rowOff>
    </xdr:from>
    <xdr:to>
      <xdr:col>2</xdr:col>
      <xdr:colOff>804181</xdr:colOff>
      <xdr:row>123</xdr:row>
      <xdr:rowOff>733425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01355526"/>
          <a:ext cx="718456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124</xdr:row>
      <xdr:rowOff>38101</xdr:rowOff>
    </xdr:from>
    <xdr:to>
      <xdr:col>2</xdr:col>
      <xdr:colOff>934683</xdr:colOff>
      <xdr:row>124</xdr:row>
      <xdr:rowOff>714375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02165151"/>
          <a:ext cx="858483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125</xdr:row>
      <xdr:rowOff>76201</xdr:rowOff>
    </xdr:from>
    <xdr:to>
      <xdr:col>2</xdr:col>
      <xdr:colOff>891619</xdr:colOff>
      <xdr:row>125</xdr:row>
      <xdr:rowOff>828675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02984301"/>
          <a:ext cx="796369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126</xdr:row>
      <xdr:rowOff>57152</xdr:rowOff>
    </xdr:from>
    <xdr:to>
      <xdr:col>2</xdr:col>
      <xdr:colOff>725470</xdr:colOff>
      <xdr:row>126</xdr:row>
      <xdr:rowOff>800100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103860602"/>
          <a:ext cx="677845" cy="74294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127</xdr:row>
      <xdr:rowOff>38101</xdr:rowOff>
    </xdr:from>
    <xdr:to>
      <xdr:col>2</xdr:col>
      <xdr:colOff>729567</xdr:colOff>
      <xdr:row>127</xdr:row>
      <xdr:rowOff>762001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04698801"/>
          <a:ext cx="653366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128</xdr:row>
      <xdr:rowOff>47626</xdr:rowOff>
    </xdr:from>
    <xdr:to>
      <xdr:col>2</xdr:col>
      <xdr:colOff>640365</xdr:colOff>
      <xdr:row>128</xdr:row>
      <xdr:rowOff>790575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5546526"/>
          <a:ext cx="583215" cy="74294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129</xdr:row>
      <xdr:rowOff>47626</xdr:rowOff>
    </xdr:from>
    <xdr:to>
      <xdr:col>2</xdr:col>
      <xdr:colOff>666751</xdr:colOff>
      <xdr:row>129</xdr:row>
      <xdr:rowOff>783393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06365676"/>
          <a:ext cx="609600" cy="735767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130</xdr:row>
      <xdr:rowOff>66676</xdr:rowOff>
    </xdr:from>
    <xdr:to>
      <xdr:col>2</xdr:col>
      <xdr:colOff>779261</xdr:colOff>
      <xdr:row>130</xdr:row>
      <xdr:rowOff>762000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107241976"/>
          <a:ext cx="645910" cy="695324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131</xdr:row>
      <xdr:rowOff>66676</xdr:rowOff>
    </xdr:from>
    <xdr:to>
      <xdr:col>2</xdr:col>
      <xdr:colOff>879491</xdr:colOff>
      <xdr:row>131</xdr:row>
      <xdr:rowOff>847725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108042076"/>
          <a:ext cx="765190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132</xdr:row>
      <xdr:rowOff>76201</xdr:rowOff>
    </xdr:from>
    <xdr:to>
      <xdr:col>2</xdr:col>
      <xdr:colOff>734483</xdr:colOff>
      <xdr:row>132</xdr:row>
      <xdr:rowOff>742950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108956476"/>
          <a:ext cx="629707" cy="66674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133</xdr:row>
      <xdr:rowOff>66676</xdr:rowOff>
    </xdr:from>
    <xdr:to>
      <xdr:col>2</xdr:col>
      <xdr:colOff>754141</xdr:colOff>
      <xdr:row>133</xdr:row>
      <xdr:rowOff>762000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09766101"/>
          <a:ext cx="677941" cy="69532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66677</xdr:colOff>
      <xdr:row>134</xdr:row>
      <xdr:rowOff>47628</xdr:rowOff>
    </xdr:from>
    <xdr:to>
      <xdr:col>2</xdr:col>
      <xdr:colOff>763135</xdr:colOff>
      <xdr:row>134</xdr:row>
      <xdr:rowOff>733425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7" y="110575728"/>
          <a:ext cx="696458" cy="6857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135</xdr:row>
      <xdr:rowOff>57151</xdr:rowOff>
    </xdr:from>
    <xdr:to>
      <xdr:col>2</xdr:col>
      <xdr:colOff>910864</xdr:colOff>
      <xdr:row>135</xdr:row>
      <xdr:rowOff>866775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11394876"/>
          <a:ext cx="834664" cy="80962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136</xdr:row>
      <xdr:rowOff>114301</xdr:rowOff>
    </xdr:from>
    <xdr:to>
      <xdr:col>2</xdr:col>
      <xdr:colOff>879186</xdr:colOff>
      <xdr:row>136</xdr:row>
      <xdr:rowOff>895350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112347376"/>
          <a:ext cx="698211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114302</xdr:colOff>
      <xdr:row>137</xdr:row>
      <xdr:rowOff>47625</xdr:rowOff>
    </xdr:from>
    <xdr:to>
      <xdr:col>2</xdr:col>
      <xdr:colOff>937647</xdr:colOff>
      <xdr:row>137</xdr:row>
      <xdr:rowOff>838200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2" y="113433225"/>
          <a:ext cx="823345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138</xdr:row>
      <xdr:rowOff>76200</xdr:rowOff>
    </xdr:from>
    <xdr:to>
      <xdr:col>2</xdr:col>
      <xdr:colOff>889227</xdr:colOff>
      <xdr:row>138</xdr:row>
      <xdr:rowOff>809625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14338100"/>
          <a:ext cx="755877" cy="7334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139</xdr:row>
      <xdr:rowOff>85726</xdr:rowOff>
    </xdr:from>
    <xdr:to>
      <xdr:col>2</xdr:col>
      <xdr:colOff>789495</xdr:colOff>
      <xdr:row>139</xdr:row>
      <xdr:rowOff>752475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15271551"/>
          <a:ext cx="694244" cy="66674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140</xdr:row>
      <xdr:rowOff>66676</xdr:rowOff>
    </xdr:from>
    <xdr:to>
      <xdr:col>2</xdr:col>
      <xdr:colOff>885825</xdr:colOff>
      <xdr:row>140</xdr:row>
      <xdr:rowOff>915246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116100226"/>
          <a:ext cx="781049" cy="84857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141</xdr:row>
      <xdr:rowOff>57150</xdr:rowOff>
    </xdr:from>
    <xdr:to>
      <xdr:col>2</xdr:col>
      <xdr:colOff>918345</xdr:colOff>
      <xdr:row>141</xdr:row>
      <xdr:rowOff>914400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17052725"/>
          <a:ext cx="842144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142</xdr:row>
      <xdr:rowOff>66676</xdr:rowOff>
    </xdr:from>
    <xdr:to>
      <xdr:col>2</xdr:col>
      <xdr:colOff>1047751</xdr:colOff>
      <xdr:row>142</xdr:row>
      <xdr:rowOff>885645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1" y="118005226"/>
          <a:ext cx="895350" cy="81896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143</xdr:row>
      <xdr:rowOff>66675</xdr:rowOff>
    </xdr:from>
    <xdr:to>
      <xdr:col>2</xdr:col>
      <xdr:colOff>857550</xdr:colOff>
      <xdr:row>143</xdr:row>
      <xdr:rowOff>723900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18967250"/>
          <a:ext cx="743249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123826</xdr:colOff>
      <xdr:row>144</xdr:row>
      <xdr:rowOff>95250</xdr:rowOff>
    </xdr:from>
    <xdr:to>
      <xdr:col>2</xdr:col>
      <xdr:colOff>985077</xdr:colOff>
      <xdr:row>144</xdr:row>
      <xdr:rowOff>923925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6" y="119976900"/>
          <a:ext cx="861251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145</xdr:row>
      <xdr:rowOff>47626</xdr:rowOff>
    </xdr:from>
    <xdr:to>
      <xdr:col>2</xdr:col>
      <xdr:colOff>945586</xdr:colOff>
      <xdr:row>145</xdr:row>
      <xdr:rowOff>790576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20881776"/>
          <a:ext cx="859861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146</xdr:row>
      <xdr:rowOff>38102</xdr:rowOff>
    </xdr:from>
    <xdr:to>
      <xdr:col>2</xdr:col>
      <xdr:colOff>847725</xdr:colOff>
      <xdr:row>146</xdr:row>
      <xdr:rowOff>764242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121719977"/>
          <a:ext cx="771524" cy="72614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147</xdr:row>
      <xdr:rowOff>66676</xdr:rowOff>
    </xdr:from>
    <xdr:to>
      <xdr:col>2</xdr:col>
      <xdr:colOff>870094</xdr:colOff>
      <xdr:row>147</xdr:row>
      <xdr:rowOff>866776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122596276"/>
          <a:ext cx="784368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148</xdr:row>
      <xdr:rowOff>57150</xdr:rowOff>
    </xdr:from>
    <xdr:to>
      <xdr:col>2</xdr:col>
      <xdr:colOff>812845</xdr:colOff>
      <xdr:row>148</xdr:row>
      <xdr:rowOff>752475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123520200"/>
          <a:ext cx="698544" cy="69532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149</xdr:row>
      <xdr:rowOff>47626</xdr:rowOff>
    </xdr:from>
    <xdr:to>
      <xdr:col>2</xdr:col>
      <xdr:colOff>842009</xdr:colOff>
      <xdr:row>149</xdr:row>
      <xdr:rowOff>847725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24406026"/>
          <a:ext cx="746759" cy="8000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150</xdr:row>
      <xdr:rowOff>47625</xdr:rowOff>
    </xdr:from>
    <xdr:to>
      <xdr:col>2</xdr:col>
      <xdr:colOff>857201</xdr:colOff>
      <xdr:row>150</xdr:row>
      <xdr:rowOff>762000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25320425"/>
          <a:ext cx="781001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151</xdr:row>
      <xdr:rowOff>9526</xdr:rowOff>
    </xdr:from>
    <xdr:to>
      <xdr:col>2</xdr:col>
      <xdr:colOff>714375</xdr:colOff>
      <xdr:row>151</xdr:row>
      <xdr:rowOff>676804</xdr:rowOff>
    </xdr:to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26158626"/>
          <a:ext cx="619124" cy="667278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152</xdr:row>
      <xdr:rowOff>76200</xdr:rowOff>
    </xdr:from>
    <xdr:to>
      <xdr:col>2</xdr:col>
      <xdr:colOff>809625</xdr:colOff>
      <xdr:row>152</xdr:row>
      <xdr:rowOff>816027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27006350"/>
          <a:ext cx="714374" cy="73982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153</xdr:row>
      <xdr:rowOff>66676</xdr:rowOff>
    </xdr:from>
    <xdr:to>
      <xdr:col>2</xdr:col>
      <xdr:colOff>905929</xdr:colOff>
      <xdr:row>153</xdr:row>
      <xdr:rowOff>866776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127873126"/>
          <a:ext cx="820203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154</xdr:row>
      <xdr:rowOff>76200</xdr:rowOff>
    </xdr:from>
    <xdr:to>
      <xdr:col>2</xdr:col>
      <xdr:colOff>739598</xdr:colOff>
      <xdr:row>154</xdr:row>
      <xdr:rowOff>781050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28797050"/>
          <a:ext cx="644348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155</xdr:row>
      <xdr:rowOff>95251</xdr:rowOff>
    </xdr:from>
    <xdr:to>
      <xdr:col>2</xdr:col>
      <xdr:colOff>768144</xdr:colOff>
      <xdr:row>155</xdr:row>
      <xdr:rowOff>828675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129740026"/>
          <a:ext cx="730044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156</xdr:row>
      <xdr:rowOff>47625</xdr:rowOff>
    </xdr:from>
    <xdr:to>
      <xdr:col>2</xdr:col>
      <xdr:colOff>838200</xdr:colOff>
      <xdr:row>156</xdr:row>
      <xdr:rowOff>819655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30559175"/>
          <a:ext cx="781049" cy="77203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157</xdr:row>
      <xdr:rowOff>57151</xdr:rowOff>
    </xdr:from>
    <xdr:to>
      <xdr:col>2</xdr:col>
      <xdr:colOff>738444</xdr:colOff>
      <xdr:row>157</xdr:row>
      <xdr:rowOff>838200</xdr:rowOff>
    </xdr:to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131425951"/>
          <a:ext cx="690819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158</xdr:row>
      <xdr:rowOff>85726</xdr:rowOff>
    </xdr:from>
    <xdr:to>
      <xdr:col>2</xdr:col>
      <xdr:colOff>809785</xdr:colOff>
      <xdr:row>158</xdr:row>
      <xdr:rowOff>790575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32340351"/>
          <a:ext cx="752635" cy="70484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159</xdr:row>
      <xdr:rowOff>28575</xdr:rowOff>
    </xdr:from>
    <xdr:to>
      <xdr:col>2</xdr:col>
      <xdr:colOff>752476</xdr:colOff>
      <xdr:row>159</xdr:row>
      <xdr:rowOff>753914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33111875"/>
          <a:ext cx="685800" cy="72533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161</xdr:row>
      <xdr:rowOff>28576</xdr:rowOff>
    </xdr:from>
    <xdr:to>
      <xdr:col>2</xdr:col>
      <xdr:colOff>661852</xdr:colOff>
      <xdr:row>161</xdr:row>
      <xdr:rowOff>704850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34759701"/>
          <a:ext cx="576127" cy="6762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162</xdr:row>
      <xdr:rowOff>9525</xdr:rowOff>
    </xdr:from>
    <xdr:to>
      <xdr:col>2</xdr:col>
      <xdr:colOff>732638</xdr:colOff>
      <xdr:row>162</xdr:row>
      <xdr:rowOff>781050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35493125"/>
          <a:ext cx="665962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163</xdr:row>
      <xdr:rowOff>76200</xdr:rowOff>
    </xdr:from>
    <xdr:to>
      <xdr:col>2</xdr:col>
      <xdr:colOff>914400</xdr:colOff>
      <xdr:row>163</xdr:row>
      <xdr:rowOff>822800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36388475"/>
          <a:ext cx="809625" cy="7466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164</xdr:row>
      <xdr:rowOff>38101</xdr:rowOff>
    </xdr:from>
    <xdr:to>
      <xdr:col>2</xdr:col>
      <xdr:colOff>828675</xdr:colOff>
      <xdr:row>164</xdr:row>
      <xdr:rowOff>868627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137217151"/>
          <a:ext cx="742949" cy="83052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165</xdr:row>
      <xdr:rowOff>66676</xdr:rowOff>
    </xdr:from>
    <xdr:to>
      <xdr:col>2</xdr:col>
      <xdr:colOff>838048</xdr:colOff>
      <xdr:row>165</xdr:row>
      <xdr:rowOff>809626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38160126"/>
          <a:ext cx="723748" cy="7429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166</xdr:row>
      <xdr:rowOff>38101</xdr:rowOff>
    </xdr:from>
    <xdr:to>
      <xdr:col>2</xdr:col>
      <xdr:colOff>912525</xdr:colOff>
      <xdr:row>166</xdr:row>
      <xdr:rowOff>857251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38998326"/>
          <a:ext cx="807750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167</xdr:row>
      <xdr:rowOff>76201</xdr:rowOff>
    </xdr:from>
    <xdr:to>
      <xdr:col>2</xdr:col>
      <xdr:colOff>819150</xdr:colOff>
      <xdr:row>167</xdr:row>
      <xdr:rowOff>827764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5375" y="140055601"/>
          <a:ext cx="676275" cy="75156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168</xdr:row>
      <xdr:rowOff>28576</xdr:rowOff>
    </xdr:from>
    <xdr:to>
      <xdr:col>2</xdr:col>
      <xdr:colOff>769111</xdr:colOff>
      <xdr:row>168</xdr:row>
      <xdr:rowOff>781050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140912851"/>
          <a:ext cx="664335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169</xdr:row>
      <xdr:rowOff>28575</xdr:rowOff>
    </xdr:from>
    <xdr:to>
      <xdr:col>2</xdr:col>
      <xdr:colOff>828676</xdr:colOff>
      <xdr:row>169</xdr:row>
      <xdr:rowOff>810549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41855825"/>
          <a:ext cx="733426" cy="7819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170</xdr:row>
      <xdr:rowOff>66676</xdr:rowOff>
    </xdr:from>
    <xdr:to>
      <xdr:col>2</xdr:col>
      <xdr:colOff>703838</xdr:colOff>
      <xdr:row>170</xdr:row>
      <xdr:rowOff>781050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142817851"/>
          <a:ext cx="599062" cy="7143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171</xdr:row>
      <xdr:rowOff>66676</xdr:rowOff>
    </xdr:from>
    <xdr:to>
      <xdr:col>2</xdr:col>
      <xdr:colOff>933451</xdr:colOff>
      <xdr:row>171</xdr:row>
      <xdr:rowOff>908729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43751301"/>
          <a:ext cx="876300" cy="842053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172</xdr:row>
      <xdr:rowOff>47625</xdr:rowOff>
    </xdr:from>
    <xdr:to>
      <xdr:col>2</xdr:col>
      <xdr:colOff>918376</xdr:colOff>
      <xdr:row>172</xdr:row>
      <xdr:rowOff>838200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44684750"/>
          <a:ext cx="813601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173</xdr:row>
      <xdr:rowOff>66677</xdr:rowOff>
    </xdr:from>
    <xdr:to>
      <xdr:col>2</xdr:col>
      <xdr:colOff>714375</xdr:colOff>
      <xdr:row>173</xdr:row>
      <xdr:rowOff>743014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45599152"/>
          <a:ext cx="619124" cy="676337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174</xdr:row>
      <xdr:rowOff>38100</xdr:rowOff>
    </xdr:from>
    <xdr:to>
      <xdr:col>2</xdr:col>
      <xdr:colOff>791646</xdr:colOff>
      <xdr:row>174</xdr:row>
      <xdr:rowOff>847725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146399250"/>
          <a:ext cx="744020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175</xdr:row>
      <xdr:rowOff>19051</xdr:rowOff>
    </xdr:from>
    <xdr:to>
      <xdr:col>2</xdr:col>
      <xdr:colOff>759727</xdr:colOff>
      <xdr:row>175</xdr:row>
      <xdr:rowOff>800100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47285076"/>
          <a:ext cx="674002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176</xdr:row>
      <xdr:rowOff>28575</xdr:rowOff>
    </xdr:from>
    <xdr:to>
      <xdr:col>2</xdr:col>
      <xdr:colOff>900065</xdr:colOff>
      <xdr:row>176</xdr:row>
      <xdr:rowOff>838200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48132800"/>
          <a:ext cx="804815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177</xdr:row>
      <xdr:rowOff>42226</xdr:rowOff>
    </xdr:from>
    <xdr:to>
      <xdr:col>2</xdr:col>
      <xdr:colOff>860240</xdr:colOff>
      <xdr:row>177</xdr:row>
      <xdr:rowOff>762000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48975126"/>
          <a:ext cx="755465" cy="71977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178</xdr:row>
      <xdr:rowOff>76201</xdr:rowOff>
    </xdr:from>
    <xdr:to>
      <xdr:col>2</xdr:col>
      <xdr:colOff>793297</xdr:colOff>
      <xdr:row>178</xdr:row>
      <xdr:rowOff>857250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50028276"/>
          <a:ext cx="698046" cy="78104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179</xdr:row>
      <xdr:rowOff>76201</xdr:rowOff>
    </xdr:from>
    <xdr:to>
      <xdr:col>2</xdr:col>
      <xdr:colOff>861596</xdr:colOff>
      <xdr:row>179</xdr:row>
      <xdr:rowOff>828675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2" y="150904576"/>
          <a:ext cx="785394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104776</xdr:colOff>
      <xdr:row>180</xdr:row>
      <xdr:rowOff>85727</xdr:rowOff>
    </xdr:from>
    <xdr:to>
      <xdr:col>2</xdr:col>
      <xdr:colOff>804398</xdr:colOff>
      <xdr:row>180</xdr:row>
      <xdr:rowOff>876300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151799927"/>
          <a:ext cx="699622" cy="79057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181</xdr:row>
      <xdr:rowOff>28575</xdr:rowOff>
    </xdr:from>
    <xdr:to>
      <xdr:col>2</xdr:col>
      <xdr:colOff>815007</xdr:colOff>
      <xdr:row>181</xdr:row>
      <xdr:rowOff>800100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52695275"/>
          <a:ext cx="757856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182</xdr:row>
      <xdr:rowOff>57151</xdr:rowOff>
    </xdr:from>
    <xdr:to>
      <xdr:col>2</xdr:col>
      <xdr:colOff>771224</xdr:colOff>
      <xdr:row>182</xdr:row>
      <xdr:rowOff>714375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2" y="153609676"/>
          <a:ext cx="714072" cy="6572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183</xdr:row>
      <xdr:rowOff>19051</xdr:rowOff>
    </xdr:from>
    <xdr:to>
      <xdr:col>2</xdr:col>
      <xdr:colOff>828675</xdr:colOff>
      <xdr:row>183</xdr:row>
      <xdr:rowOff>852297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54400251"/>
          <a:ext cx="771524" cy="83324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184</xdr:row>
      <xdr:rowOff>57151</xdr:rowOff>
    </xdr:from>
    <xdr:to>
      <xdr:col>2</xdr:col>
      <xdr:colOff>729061</xdr:colOff>
      <xdr:row>184</xdr:row>
      <xdr:rowOff>790575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55362276"/>
          <a:ext cx="671911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185</xdr:row>
      <xdr:rowOff>57151</xdr:rowOff>
    </xdr:from>
    <xdr:to>
      <xdr:col>2</xdr:col>
      <xdr:colOff>840400</xdr:colOff>
      <xdr:row>185</xdr:row>
      <xdr:rowOff>771525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2" y="156210001"/>
          <a:ext cx="783248" cy="7143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186</xdr:row>
      <xdr:rowOff>38100</xdr:rowOff>
    </xdr:from>
    <xdr:to>
      <xdr:col>2</xdr:col>
      <xdr:colOff>902348</xdr:colOff>
      <xdr:row>186</xdr:row>
      <xdr:rowOff>885825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57029150"/>
          <a:ext cx="835672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187</xdr:row>
      <xdr:rowOff>66676</xdr:rowOff>
    </xdr:from>
    <xdr:to>
      <xdr:col>2</xdr:col>
      <xdr:colOff>844566</xdr:colOff>
      <xdr:row>187</xdr:row>
      <xdr:rowOff>847726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158048326"/>
          <a:ext cx="75884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188</xdr:row>
      <xdr:rowOff>66676</xdr:rowOff>
    </xdr:from>
    <xdr:to>
      <xdr:col>2</xdr:col>
      <xdr:colOff>777246</xdr:colOff>
      <xdr:row>188</xdr:row>
      <xdr:rowOff>762000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1" y="158943676"/>
          <a:ext cx="681995" cy="695324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189</xdr:row>
      <xdr:rowOff>66675</xdr:rowOff>
    </xdr:from>
    <xdr:to>
      <xdr:col>2</xdr:col>
      <xdr:colOff>714375</xdr:colOff>
      <xdr:row>189</xdr:row>
      <xdr:rowOff>726437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59791400"/>
          <a:ext cx="581025" cy="65976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190</xdr:row>
      <xdr:rowOff>76200</xdr:rowOff>
    </xdr:from>
    <xdr:to>
      <xdr:col>2</xdr:col>
      <xdr:colOff>742949</xdr:colOff>
      <xdr:row>190</xdr:row>
      <xdr:rowOff>736236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60629600"/>
          <a:ext cx="647699" cy="66003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95252</xdr:colOff>
      <xdr:row>191</xdr:row>
      <xdr:rowOff>47627</xdr:rowOff>
    </xdr:from>
    <xdr:to>
      <xdr:col>2</xdr:col>
      <xdr:colOff>831950</xdr:colOff>
      <xdr:row>191</xdr:row>
      <xdr:rowOff>762001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2" y="161410652"/>
          <a:ext cx="736698" cy="71437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192</xdr:row>
      <xdr:rowOff>28576</xdr:rowOff>
    </xdr:from>
    <xdr:to>
      <xdr:col>2</xdr:col>
      <xdr:colOff>733425</xdr:colOff>
      <xdr:row>192</xdr:row>
      <xdr:rowOff>804928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62296476"/>
          <a:ext cx="666749" cy="77635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193</xdr:row>
      <xdr:rowOff>76199</xdr:rowOff>
    </xdr:from>
    <xdr:to>
      <xdr:col>2</xdr:col>
      <xdr:colOff>772983</xdr:colOff>
      <xdr:row>193</xdr:row>
      <xdr:rowOff>857250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163201349"/>
          <a:ext cx="639632" cy="78105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194</xdr:row>
      <xdr:rowOff>57151</xdr:rowOff>
    </xdr:from>
    <xdr:to>
      <xdr:col>2</xdr:col>
      <xdr:colOff>786861</xdr:colOff>
      <xdr:row>194</xdr:row>
      <xdr:rowOff>809625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164134801"/>
          <a:ext cx="720185" cy="7524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195</xdr:row>
      <xdr:rowOff>76200</xdr:rowOff>
    </xdr:from>
    <xdr:to>
      <xdr:col>2</xdr:col>
      <xdr:colOff>808526</xdr:colOff>
      <xdr:row>195</xdr:row>
      <xdr:rowOff>838200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65039675"/>
          <a:ext cx="751375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196</xdr:row>
      <xdr:rowOff>9526</xdr:rowOff>
    </xdr:from>
    <xdr:to>
      <xdr:col>2</xdr:col>
      <xdr:colOff>817892</xdr:colOff>
      <xdr:row>196</xdr:row>
      <xdr:rowOff>771526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65887401"/>
          <a:ext cx="751217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197</xdr:row>
      <xdr:rowOff>47625</xdr:rowOff>
    </xdr:from>
    <xdr:to>
      <xdr:col>2</xdr:col>
      <xdr:colOff>760135</xdr:colOff>
      <xdr:row>197</xdr:row>
      <xdr:rowOff>733425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6" y="166868475"/>
          <a:ext cx="664884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142876</xdr:colOff>
      <xdr:row>198</xdr:row>
      <xdr:rowOff>57152</xdr:rowOff>
    </xdr:from>
    <xdr:to>
      <xdr:col>2</xdr:col>
      <xdr:colOff>912686</xdr:colOff>
      <xdr:row>198</xdr:row>
      <xdr:rowOff>838200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6" y="167697152"/>
          <a:ext cx="769810" cy="78104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199</xdr:row>
      <xdr:rowOff>66675</xdr:rowOff>
    </xdr:from>
    <xdr:to>
      <xdr:col>2</xdr:col>
      <xdr:colOff>866776</xdr:colOff>
      <xdr:row>199</xdr:row>
      <xdr:rowOff>822488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8783000"/>
          <a:ext cx="714376" cy="75581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200</xdr:row>
      <xdr:rowOff>76201</xdr:rowOff>
    </xdr:from>
    <xdr:to>
      <xdr:col>2</xdr:col>
      <xdr:colOff>834499</xdr:colOff>
      <xdr:row>200</xdr:row>
      <xdr:rowOff>914400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69849801"/>
          <a:ext cx="758299" cy="83819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201</xdr:row>
      <xdr:rowOff>95251</xdr:rowOff>
    </xdr:from>
    <xdr:to>
      <xdr:col>2</xdr:col>
      <xdr:colOff>943067</xdr:colOff>
      <xdr:row>201</xdr:row>
      <xdr:rowOff>800100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6" y="170888026"/>
          <a:ext cx="857341" cy="70484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76202</xdr:colOff>
      <xdr:row>202</xdr:row>
      <xdr:rowOff>85726</xdr:rowOff>
    </xdr:from>
    <xdr:to>
      <xdr:col>2</xdr:col>
      <xdr:colOff>851536</xdr:colOff>
      <xdr:row>202</xdr:row>
      <xdr:rowOff>819150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2" y="171773851"/>
          <a:ext cx="775334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47627</xdr:colOff>
      <xdr:row>204</xdr:row>
      <xdr:rowOff>28576</xdr:rowOff>
    </xdr:from>
    <xdr:to>
      <xdr:col>2</xdr:col>
      <xdr:colOff>885437</xdr:colOff>
      <xdr:row>204</xdr:row>
      <xdr:rowOff>885825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7" y="173640751"/>
          <a:ext cx="837810" cy="8572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205</xdr:row>
      <xdr:rowOff>47626</xdr:rowOff>
    </xdr:from>
    <xdr:to>
      <xdr:col>2</xdr:col>
      <xdr:colOff>877417</xdr:colOff>
      <xdr:row>205</xdr:row>
      <xdr:rowOff>866775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174602776"/>
          <a:ext cx="782166" cy="81914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95251</xdr:colOff>
      <xdr:row>206</xdr:row>
      <xdr:rowOff>66676</xdr:rowOff>
    </xdr:from>
    <xdr:to>
      <xdr:col>2</xdr:col>
      <xdr:colOff>912487</xdr:colOff>
      <xdr:row>206</xdr:row>
      <xdr:rowOff>885826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1" y="175574326"/>
          <a:ext cx="817236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207</xdr:row>
      <xdr:rowOff>66676</xdr:rowOff>
    </xdr:from>
    <xdr:to>
      <xdr:col>2</xdr:col>
      <xdr:colOff>895349</xdr:colOff>
      <xdr:row>207</xdr:row>
      <xdr:rowOff>891792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176507776"/>
          <a:ext cx="781049" cy="82511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208</xdr:row>
      <xdr:rowOff>47626</xdr:rowOff>
    </xdr:from>
    <xdr:to>
      <xdr:col>2</xdr:col>
      <xdr:colOff>882877</xdr:colOff>
      <xdr:row>208</xdr:row>
      <xdr:rowOff>1000125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177460276"/>
          <a:ext cx="816201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209</xdr:row>
      <xdr:rowOff>95250</xdr:rowOff>
    </xdr:from>
    <xdr:to>
      <xdr:col>2</xdr:col>
      <xdr:colOff>895350</xdr:colOff>
      <xdr:row>209</xdr:row>
      <xdr:rowOff>873009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78546125"/>
          <a:ext cx="847725" cy="777759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114301</xdr:colOff>
      <xdr:row>210</xdr:row>
      <xdr:rowOff>76200</xdr:rowOff>
    </xdr:from>
    <xdr:to>
      <xdr:col>2</xdr:col>
      <xdr:colOff>928784</xdr:colOff>
      <xdr:row>210</xdr:row>
      <xdr:rowOff>866775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1" y="179517675"/>
          <a:ext cx="814483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38102</xdr:colOff>
      <xdr:row>211</xdr:row>
      <xdr:rowOff>104776</xdr:rowOff>
    </xdr:from>
    <xdr:to>
      <xdr:col>2</xdr:col>
      <xdr:colOff>853444</xdr:colOff>
      <xdr:row>211</xdr:row>
      <xdr:rowOff>609600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2" y="180441601"/>
          <a:ext cx="815342" cy="5048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212</xdr:row>
      <xdr:rowOff>104776</xdr:rowOff>
    </xdr:from>
    <xdr:to>
      <xdr:col>2</xdr:col>
      <xdr:colOff>903372</xdr:colOff>
      <xdr:row>212</xdr:row>
      <xdr:rowOff>581026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1" y="181327426"/>
          <a:ext cx="846221" cy="4762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213</xdr:row>
      <xdr:rowOff>38101</xdr:rowOff>
    </xdr:from>
    <xdr:to>
      <xdr:col>2</xdr:col>
      <xdr:colOff>819150</xdr:colOff>
      <xdr:row>213</xdr:row>
      <xdr:rowOff>892794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6" y="182184676"/>
          <a:ext cx="771524" cy="854693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214</xdr:row>
      <xdr:rowOff>57150</xdr:rowOff>
    </xdr:from>
    <xdr:to>
      <xdr:col>2</xdr:col>
      <xdr:colOff>914399</xdr:colOff>
      <xdr:row>214</xdr:row>
      <xdr:rowOff>863733</xdr:rowOff>
    </xdr:to>
    <xdr:pic>
      <xdr:nvPicPr>
        <xdr:cNvPr id="201" name="Рисунок 200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4" y="183203850"/>
          <a:ext cx="866775" cy="806583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215</xdr:row>
      <xdr:rowOff>76201</xdr:rowOff>
    </xdr:from>
    <xdr:to>
      <xdr:col>2</xdr:col>
      <xdr:colOff>923925</xdr:colOff>
      <xdr:row>215</xdr:row>
      <xdr:rowOff>563064</xdr:rowOff>
    </xdr:to>
    <xdr:pic>
      <xdr:nvPicPr>
        <xdr:cNvPr id="202" name="Рисунок 201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84127776"/>
          <a:ext cx="847725" cy="486863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216</xdr:row>
      <xdr:rowOff>57152</xdr:rowOff>
    </xdr:from>
    <xdr:to>
      <xdr:col>2</xdr:col>
      <xdr:colOff>910546</xdr:colOff>
      <xdr:row>216</xdr:row>
      <xdr:rowOff>600076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184975502"/>
          <a:ext cx="872445" cy="54292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217</xdr:row>
      <xdr:rowOff>123827</xdr:rowOff>
    </xdr:from>
    <xdr:to>
      <xdr:col>2</xdr:col>
      <xdr:colOff>904875</xdr:colOff>
      <xdr:row>217</xdr:row>
      <xdr:rowOff>605817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185908952"/>
          <a:ext cx="838199" cy="4819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218</xdr:row>
      <xdr:rowOff>57150</xdr:rowOff>
    </xdr:from>
    <xdr:to>
      <xdr:col>2</xdr:col>
      <xdr:colOff>933450</xdr:colOff>
      <xdr:row>218</xdr:row>
      <xdr:rowOff>593937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86728100"/>
          <a:ext cx="885825" cy="536787"/>
        </a:xfrm>
        <a:prstGeom prst="rect">
          <a:avLst/>
        </a:prstGeom>
      </xdr:spPr>
    </xdr:pic>
    <xdr:clientData/>
  </xdr:twoCellAnchor>
  <xdr:twoCellAnchor editAs="oneCell">
    <xdr:from>
      <xdr:col>2</xdr:col>
      <xdr:colOff>28577</xdr:colOff>
      <xdr:row>219</xdr:row>
      <xdr:rowOff>123825</xdr:rowOff>
    </xdr:from>
    <xdr:to>
      <xdr:col>2</xdr:col>
      <xdr:colOff>938085</xdr:colOff>
      <xdr:row>219</xdr:row>
      <xdr:rowOff>609600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7" y="187671075"/>
          <a:ext cx="909508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220</xdr:row>
      <xdr:rowOff>76200</xdr:rowOff>
    </xdr:from>
    <xdr:to>
      <xdr:col>2</xdr:col>
      <xdr:colOff>945417</xdr:colOff>
      <xdr:row>220</xdr:row>
      <xdr:rowOff>619125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88604525"/>
          <a:ext cx="897792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221</xdr:row>
      <xdr:rowOff>76201</xdr:rowOff>
    </xdr:from>
    <xdr:to>
      <xdr:col>2</xdr:col>
      <xdr:colOff>933623</xdr:colOff>
      <xdr:row>221</xdr:row>
      <xdr:rowOff>532275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89499876"/>
          <a:ext cx="885998" cy="4560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222</xdr:row>
      <xdr:rowOff>95251</xdr:rowOff>
    </xdr:from>
    <xdr:to>
      <xdr:col>2</xdr:col>
      <xdr:colOff>962497</xdr:colOff>
      <xdr:row>222</xdr:row>
      <xdr:rowOff>647701</xdr:rowOff>
    </xdr:to>
    <xdr:pic>
      <xdr:nvPicPr>
        <xdr:cNvPr id="209" name="Рисунок 208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190490476"/>
          <a:ext cx="924396" cy="55245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223</xdr:row>
      <xdr:rowOff>142875</xdr:rowOff>
    </xdr:from>
    <xdr:to>
      <xdr:col>2</xdr:col>
      <xdr:colOff>979248</xdr:colOff>
      <xdr:row>223</xdr:row>
      <xdr:rowOff>628650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91347725"/>
          <a:ext cx="931623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49106</xdr:colOff>
      <xdr:row>224</xdr:row>
      <xdr:rowOff>123825</xdr:rowOff>
    </xdr:from>
    <xdr:to>
      <xdr:col>2</xdr:col>
      <xdr:colOff>930488</xdr:colOff>
      <xdr:row>224</xdr:row>
      <xdr:rowOff>638175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0556" y="192262125"/>
          <a:ext cx="881382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225</xdr:row>
      <xdr:rowOff>133351</xdr:rowOff>
    </xdr:from>
    <xdr:to>
      <xdr:col>2</xdr:col>
      <xdr:colOff>977754</xdr:colOff>
      <xdr:row>225</xdr:row>
      <xdr:rowOff>628650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193138426"/>
          <a:ext cx="939653" cy="49529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226</xdr:row>
      <xdr:rowOff>76200</xdr:rowOff>
    </xdr:from>
    <xdr:to>
      <xdr:col>2</xdr:col>
      <xdr:colOff>990211</xdr:colOff>
      <xdr:row>226</xdr:row>
      <xdr:rowOff>666750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93986150"/>
          <a:ext cx="952111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227</xdr:row>
      <xdr:rowOff>104775</xdr:rowOff>
    </xdr:from>
    <xdr:to>
      <xdr:col>2</xdr:col>
      <xdr:colOff>981507</xdr:colOff>
      <xdr:row>227</xdr:row>
      <xdr:rowOff>628650</xdr:rowOff>
    </xdr:to>
    <xdr:pic>
      <xdr:nvPicPr>
        <xdr:cNvPr id="214" name="Рисунок 213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194900550"/>
          <a:ext cx="943406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22932</xdr:colOff>
      <xdr:row>228</xdr:row>
      <xdr:rowOff>76200</xdr:rowOff>
    </xdr:from>
    <xdr:to>
      <xdr:col>2</xdr:col>
      <xdr:colOff>991440</xdr:colOff>
      <xdr:row>228</xdr:row>
      <xdr:rowOff>581025</xdr:rowOff>
    </xdr:to>
    <xdr:pic>
      <xdr:nvPicPr>
        <xdr:cNvPr id="215" name="Рисунок 214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4382" y="195767325"/>
          <a:ext cx="968508" cy="5048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229</xdr:row>
      <xdr:rowOff>114301</xdr:rowOff>
    </xdr:from>
    <xdr:to>
      <xdr:col>2</xdr:col>
      <xdr:colOff>1000125</xdr:colOff>
      <xdr:row>229</xdr:row>
      <xdr:rowOff>548435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1" y="196757926"/>
          <a:ext cx="981074" cy="434134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180976</xdr:colOff>
      <xdr:row>230</xdr:row>
      <xdr:rowOff>38102</xdr:rowOff>
    </xdr:from>
    <xdr:to>
      <xdr:col>2</xdr:col>
      <xdr:colOff>933450</xdr:colOff>
      <xdr:row>230</xdr:row>
      <xdr:rowOff>930374</xdr:rowOff>
    </xdr:to>
    <xdr:pic>
      <xdr:nvPicPr>
        <xdr:cNvPr id="217" name="Рисунок 216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1" y="202892027"/>
          <a:ext cx="752474" cy="892272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231</xdr:row>
      <xdr:rowOff>47625</xdr:rowOff>
    </xdr:from>
    <xdr:to>
      <xdr:col>2</xdr:col>
      <xdr:colOff>1416892</xdr:colOff>
      <xdr:row>231</xdr:row>
      <xdr:rowOff>838200</xdr:rowOff>
    </xdr:to>
    <xdr:pic>
      <xdr:nvPicPr>
        <xdr:cNvPr id="218" name="Рисунок 217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6" y="198567675"/>
          <a:ext cx="1331166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232</xdr:row>
      <xdr:rowOff>95250</xdr:rowOff>
    </xdr:from>
    <xdr:to>
      <xdr:col>2</xdr:col>
      <xdr:colOff>1441614</xdr:colOff>
      <xdr:row>232</xdr:row>
      <xdr:rowOff>904875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1" y="199501125"/>
          <a:ext cx="1365413" cy="809625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233</xdr:row>
      <xdr:rowOff>85725</xdr:rowOff>
    </xdr:from>
    <xdr:to>
      <xdr:col>2</xdr:col>
      <xdr:colOff>1386946</xdr:colOff>
      <xdr:row>233</xdr:row>
      <xdr:rowOff>933450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6" y="200482200"/>
          <a:ext cx="1320270" cy="84772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228601</xdr:colOff>
      <xdr:row>234</xdr:row>
      <xdr:rowOff>66676</xdr:rowOff>
    </xdr:from>
    <xdr:to>
      <xdr:col>2</xdr:col>
      <xdr:colOff>1208163</xdr:colOff>
      <xdr:row>234</xdr:row>
      <xdr:rowOff>1323975</xdr:rowOff>
    </xdr:to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1" y="202415776"/>
          <a:ext cx="979562" cy="1257299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83821</xdr:colOff>
      <xdr:row>2</xdr:row>
      <xdr:rowOff>121920</xdr:rowOff>
    </xdr:from>
    <xdr:to>
      <xdr:col>12</xdr:col>
      <xdr:colOff>335281</xdr:colOff>
      <xdr:row>8</xdr:row>
      <xdr:rowOff>41452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3981" y="807720"/>
          <a:ext cx="861060" cy="1138732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26</xdr:row>
      <xdr:rowOff>47625</xdr:rowOff>
    </xdr:from>
    <xdr:to>
      <xdr:col>2</xdr:col>
      <xdr:colOff>1114425</xdr:colOff>
      <xdr:row>26</xdr:row>
      <xdr:rowOff>946818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14782800"/>
          <a:ext cx="1057274" cy="899193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133351</xdr:colOff>
      <xdr:row>59</xdr:row>
      <xdr:rowOff>66677</xdr:rowOff>
    </xdr:from>
    <xdr:to>
      <xdr:col>2</xdr:col>
      <xdr:colOff>959666</xdr:colOff>
      <xdr:row>59</xdr:row>
      <xdr:rowOff>800101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1" y="47005877"/>
          <a:ext cx="826315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108</xdr:row>
      <xdr:rowOff>38100</xdr:rowOff>
    </xdr:from>
    <xdr:to>
      <xdr:col>2</xdr:col>
      <xdr:colOff>983589</xdr:colOff>
      <xdr:row>108</xdr:row>
      <xdr:rowOff>904875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1" y="88544400"/>
          <a:ext cx="92643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160</xdr:row>
      <xdr:rowOff>38101</xdr:rowOff>
    </xdr:from>
    <xdr:to>
      <xdr:col>2</xdr:col>
      <xdr:colOff>733426</xdr:colOff>
      <xdr:row>160</xdr:row>
      <xdr:rowOff>713851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6" y="133940551"/>
          <a:ext cx="647700" cy="67575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203</xdr:row>
      <xdr:rowOff>57151</xdr:rowOff>
    </xdr:from>
    <xdr:to>
      <xdr:col>2</xdr:col>
      <xdr:colOff>909884</xdr:colOff>
      <xdr:row>203</xdr:row>
      <xdr:rowOff>923925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1" y="172631101"/>
          <a:ext cx="871783" cy="866774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20</xdr:row>
      <xdr:rowOff>28576</xdr:rowOff>
    </xdr:from>
    <xdr:to>
      <xdr:col>2</xdr:col>
      <xdr:colOff>866775</xdr:colOff>
      <xdr:row>20</xdr:row>
      <xdr:rowOff>761696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6" y="2438401"/>
          <a:ext cx="847724" cy="733120"/>
        </a:xfrm>
        <a:prstGeom prst="rect">
          <a:avLst/>
        </a:prstGeom>
      </xdr:spPr>
    </xdr:pic>
    <xdr:clientData/>
  </xdr:twoCellAnchor>
  <xdr:twoCellAnchor editAs="oneCell">
    <xdr:from>
      <xdr:col>2</xdr:col>
      <xdr:colOff>337185</xdr:colOff>
      <xdr:row>10</xdr:row>
      <xdr:rowOff>60961</xdr:rowOff>
    </xdr:from>
    <xdr:to>
      <xdr:col>2</xdr:col>
      <xdr:colOff>1051561</xdr:colOff>
      <xdr:row>10</xdr:row>
      <xdr:rowOff>763599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5" y="2804161"/>
          <a:ext cx="714376" cy="702638"/>
        </a:xfrm>
        <a:prstGeom prst="rect">
          <a:avLst/>
        </a:prstGeom>
      </xdr:spPr>
    </xdr:pic>
    <xdr:clientData/>
  </xdr:twoCellAnchor>
  <xdr:twoCellAnchor editAs="oneCell">
    <xdr:from>
      <xdr:col>2</xdr:col>
      <xdr:colOff>350522</xdr:colOff>
      <xdr:row>11</xdr:row>
      <xdr:rowOff>38101</xdr:rowOff>
    </xdr:from>
    <xdr:to>
      <xdr:col>2</xdr:col>
      <xdr:colOff>1036320</xdr:colOff>
      <xdr:row>11</xdr:row>
      <xdr:rowOff>761391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062" y="3558541"/>
          <a:ext cx="685798" cy="723290"/>
        </a:xfrm>
        <a:prstGeom prst="rect">
          <a:avLst/>
        </a:prstGeom>
      </xdr:spPr>
    </xdr:pic>
    <xdr:clientData/>
  </xdr:twoCellAnchor>
  <xdr:twoCellAnchor editAs="oneCell">
    <xdr:from>
      <xdr:col>2</xdr:col>
      <xdr:colOff>377191</xdr:colOff>
      <xdr:row>12</xdr:row>
      <xdr:rowOff>22860</xdr:rowOff>
    </xdr:from>
    <xdr:to>
      <xdr:col>2</xdr:col>
      <xdr:colOff>1141158</xdr:colOff>
      <xdr:row>12</xdr:row>
      <xdr:rowOff>889635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1" y="4320540"/>
          <a:ext cx="763967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407670</xdr:colOff>
      <xdr:row>13</xdr:row>
      <xdr:rowOff>30481</xdr:rowOff>
    </xdr:from>
    <xdr:to>
      <xdr:col>2</xdr:col>
      <xdr:colOff>1217295</xdr:colOff>
      <xdr:row>13</xdr:row>
      <xdr:rowOff>856895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210" y="5280661"/>
          <a:ext cx="809625" cy="82641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66676</xdr:colOff>
      <xdr:row>14</xdr:row>
      <xdr:rowOff>28576</xdr:rowOff>
    </xdr:from>
    <xdr:to>
      <xdr:col>2</xdr:col>
      <xdr:colOff>982181</xdr:colOff>
      <xdr:row>15</xdr:row>
      <xdr:rowOff>0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1" y="22069426"/>
          <a:ext cx="915505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15</xdr:row>
      <xdr:rowOff>76200</xdr:rowOff>
    </xdr:from>
    <xdr:to>
      <xdr:col>2</xdr:col>
      <xdr:colOff>933983</xdr:colOff>
      <xdr:row>15</xdr:row>
      <xdr:rowOff>962025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6" y="23107650"/>
          <a:ext cx="876832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16</xdr:row>
      <xdr:rowOff>57150</xdr:rowOff>
    </xdr:from>
    <xdr:to>
      <xdr:col>2</xdr:col>
      <xdr:colOff>1077354</xdr:colOff>
      <xdr:row>16</xdr:row>
      <xdr:rowOff>1009649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24098250"/>
          <a:ext cx="1029729" cy="952499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17</xdr:row>
      <xdr:rowOff>76200</xdr:rowOff>
    </xdr:from>
    <xdr:to>
      <xdr:col>2</xdr:col>
      <xdr:colOff>981054</xdr:colOff>
      <xdr:row>17</xdr:row>
      <xdr:rowOff>1000125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6" y="33251775"/>
          <a:ext cx="904853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18</xdr:row>
      <xdr:rowOff>57152</xdr:rowOff>
    </xdr:from>
    <xdr:to>
      <xdr:col>2</xdr:col>
      <xdr:colOff>1181234</xdr:colOff>
      <xdr:row>18</xdr:row>
      <xdr:rowOff>904876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6" y="34309052"/>
          <a:ext cx="1143133" cy="84772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21</xdr:row>
      <xdr:rowOff>19052</xdr:rowOff>
    </xdr:from>
    <xdr:to>
      <xdr:col>2</xdr:col>
      <xdr:colOff>914400</xdr:colOff>
      <xdr:row>21</xdr:row>
      <xdr:rowOff>794586</xdr:rowOff>
    </xdr:to>
    <xdr:pic>
      <xdr:nvPicPr>
        <xdr:cNvPr id="511" name="Рисунок 510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1" y="12020552"/>
          <a:ext cx="866774" cy="77553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22</xdr:row>
      <xdr:rowOff>28575</xdr:rowOff>
    </xdr:from>
    <xdr:to>
      <xdr:col>2</xdr:col>
      <xdr:colOff>857250</xdr:colOff>
      <xdr:row>22</xdr:row>
      <xdr:rowOff>847564</xdr:rowOff>
    </xdr:to>
    <xdr:pic>
      <xdr:nvPicPr>
        <xdr:cNvPr id="512" name="Рисунок 511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12849225"/>
          <a:ext cx="847725" cy="818989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23</xdr:row>
      <xdr:rowOff>28576</xdr:rowOff>
    </xdr:from>
    <xdr:to>
      <xdr:col>2</xdr:col>
      <xdr:colOff>902442</xdr:colOff>
      <xdr:row>23</xdr:row>
      <xdr:rowOff>809626</xdr:rowOff>
    </xdr:to>
    <xdr:pic>
      <xdr:nvPicPr>
        <xdr:cNvPr id="513" name="Рисунок 512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1" y="13716001"/>
          <a:ext cx="854816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24</xdr:row>
      <xdr:rowOff>47627</xdr:rowOff>
    </xdr:from>
    <xdr:to>
      <xdr:col>2</xdr:col>
      <xdr:colOff>891540</xdr:colOff>
      <xdr:row>24</xdr:row>
      <xdr:rowOff>889790</xdr:rowOff>
    </xdr:to>
    <xdr:pic>
      <xdr:nvPicPr>
        <xdr:cNvPr id="514" name="Рисунок 513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865" y="15264767"/>
          <a:ext cx="805815" cy="842163"/>
        </a:xfrm>
        <a:prstGeom prst="rect">
          <a:avLst/>
        </a:prstGeom>
      </xdr:spPr>
    </xdr:pic>
    <xdr:clientData/>
  </xdr:twoCellAnchor>
  <xdr:twoCellAnchor editAs="oneCell">
    <xdr:from>
      <xdr:col>5</xdr:col>
      <xdr:colOff>914400</xdr:colOff>
      <xdr:row>0</xdr:row>
      <xdr:rowOff>7620</xdr:rowOff>
    </xdr:from>
    <xdr:to>
      <xdr:col>10</xdr:col>
      <xdr:colOff>7620</xdr:colOff>
      <xdr:row>4</xdr:row>
      <xdr:rowOff>182880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6179820" y="7620"/>
          <a:ext cx="2118360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akaz@galaktikaopt.ru" TargetMode="External"/><Relationship Id="rId1" Type="http://schemas.openxmlformats.org/officeDocument/2006/relationships/hyperlink" Target="http://www.galaktikaopt.r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6"/>
  <sheetViews>
    <sheetView tabSelected="1" workbookViewId="0">
      <selection activeCell="M12" sqref="M12"/>
    </sheetView>
  </sheetViews>
  <sheetFormatPr defaultRowHeight="14.4" x14ac:dyDescent="0.3"/>
  <cols>
    <col min="1" max="1" width="8.44140625" style="2" customWidth="1"/>
    <col min="2" max="2" width="15.6640625" style="4" customWidth="1"/>
    <col min="3" max="3" width="21.88671875" customWidth="1"/>
    <col min="4" max="4" width="16.44140625" customWidth="1"/>
    <col min="5" max="5" width="14.33203125" customWidth="1"/>
    <col min="6" max="6" width="13.44140625" customWidth="1"/>
    <col min="7" max="7" width="12.5546875" customWidth="1"/>
    <col min="8" max="8" width="18.109375" customWidth="1"/>
    <col min="9" max="9" width="12.44140625" hidden="1" customWidth="1"/>
    <col min="10" max="10" width="18.33203125" hidden="1" customWidth="1"/>
  </cols>
  <sheetData>
    <row r="1" spans="1:15" x14ac:dyDescent="0.3">
      <c r="A1" s="99" t="s">
        <v>480</v>
      </c>
      <c r="B1" s="84"/>
      <c r="C1" s="83" t="s">
        <v>481</v>
      </c>
    </row>
    <row r="2" spans="1:15" ht="39.6" x14ac:dyDescent="0.65">
      <c r="A2" s="74" t="s">
        <v>477</v>
      </c>
      <c r="B2" s="74"/>
      <c r="C2" s="75"/>
      <c r="D2" s="76"/>
    </row>
    <row r="3" spans="1:15" ht="22.8" x14ac:dyDescent="0.4">
      <c r="A3" s="77" t="s">
        <v>478</v>
      </c>
      <c r="B3" s="77"/>
      <c r="C3" s="78"/>
      <c r="D3" s="78"/>
    </row>
    <row r="4" spans="1:15" x14ac:dyDescent="0.3">
      <c r="A4" s="79" t="s">
        <v>479</v>
      </c>
      <c r="B4" s="79"/>
      <c r="C4" s="79"/>
      <c r="D4" s="80"/>
    </row>
    <row r="5" spans="1:15" ht="15" thickBot="1" x14ac:dyDescent="0.35">
      <c r="A5" s="81"/>
      <c r="B5" s="81"/>
      <c r="C5" s="82"/>
      <c r="D5" s="82"/>
    </row>
    <row r="6" spans="1:15" ht="14.4" customHeight="1" x14ac:dyDescent="0.3">
      <c r="A6" s="103" t="s">
        <v>482</v>
      </c>
      <c r="B6" s="104"/>
      <c r="C6" s="105"/>
      <c r="D6" s="105"/>
      <c r="E6" s="106"/>
      <c r="F6" s="107"/>
      <c r="G6" s="89" t="s">
        <v>447</v>
      </c>
      <c r="H6" s="94"/>
    </row>
    <row r="7" spans="1:15" x14ac:dyDescent="0.3">
      <c r="A7" s="108"/>
      <c r="B7" s="109"/>
      <c r="C7" s="109"/>
      <c r="D7" s="109"/>
      <c r="E7" s="109"/>
      <c r="F7" s="100"/>
      <c r="G7" s="95"/>
      <c r="H7" s="96"/>
    </row>
    <row r="8" spans="1:15" ht="15" thickBot="1" x14ac:dyDescent="0.35">
      <c r="A8" s="110"/>
      <c r="B8" s="101"/>
      <c r="C8" s="101"/>
      <c r="D8" s="101"/>
      <c r="E8" s="101"/>
      <c r="F8" s="102"/>
      <c r="G8" s="97"/>
      <c r="H8" s="98"/>
    </row>
    <row r="9" spans="1:15" ht="33" customHeight="1" thickBot="1" x14ac:dyDescent="0.35">
      <c r="A9" s="60" t="s">
        <v>422</v>
      </c>
      <c r="B9" s="60" t="s">
        <v>423</v>
      </c>
      <c r="C9" s="59" t="s">
        <v>424</v>
      </c>
      <c r="D9" s="60" t="s">
        <v>455</v>
      </c>
      <c r="E9" s="60" t="s">
        <v>429</v>
      </c>
      <c r="F9" s="86">
        <v>0.1</v>
      </c>
      <c r="G9" s="87" t="s">
        <v>448</v>
      </c>
      <c r="H9" s="88" t="s">
        <v>433</v>
      </c>
      <c r="I9" s="35" t="s">
        <v>446</v>
      </c>
      <c r="J9" s="36" t="s">
        <v>445</v>
      </c>
      <c r="K9" s="7"/>
      <c r="L9" s="7"/>
      <c r="M9" s="7"/>
      <c r="N9" s="7"/>
      <c r="O9" s="7"/>
    </row>
    <row r="10" spans="1:15" ht="33" customHeight="1" x14ac:dyDescent="0.3">
      <c r="A10" s="85" t="s">
        <v>430</v>
      </c>
      <c r="B10" s="58"/>
      <c r="C10" s="58"/>
      <c r="D10" s="58"/>
      <c r="E10" s="58"/>
      <c r="F10" s="58"/>
      <c r="G10" s="58"/>
      <c r="H10" s="58"/>
      <c r="I10" s="58"/>
      <c r="J10" s="93"/>
      <c r="K10" s="7"/>
      <c r="L10" s="7"/>
      <c r="M10" s="7"/>
      <c r="N10" s="7"/>
      <c r="O10" s="7"/>
    </row>
    <row r="11" spans="1:15" ht="61.5" customHeight="1" x14ac:dyDescent="0.3">
      <c r="A11" s="53" t="s">
        <v>7</v>
      </c>
      <c r="B11" s="54" t="s">
        <v>456</v>
      </c>
      <c r="C11" s="55"/>
      <c r="D11" s="57" t="s">
        <v>450</v>
      </c>
      <c r="E11" s="52">
        <v>437</v>
      </c>
      <c r="F11" s="56">
        <f>ROUND(E11*(1-$F$9),9)</f>
        <v>393.3</v>
      </c>
      <c r="G11" s="27" t="s">
        <v>435</v>
      </c>
      <c r="H11" s="28">
        <f>F11*G11</f>
        <v>0</v>
      </c>
      <c r="I11" s="29">
        <f>0.46*G11</f>
        <v>0</v>
      </c>
      <c r="J11" s="30">
        <f>0.001*G11</f>
        <v>0</v>
      </c>
      <c r="K11" s="7"/>
      <c r="L11" s="7"/>
      <c r="M11" s="7"/>
      <c r="N11" s="7"/>
      <c r="O11" s="7"/>
    </row>
    <row r="12" spans="1:15" ht="61.5" customHeight="1" x14ac:dyDescent="0.3">
      <c r="A12" s="8" t="s">
        <v>8</v>
      </c>
      <c r="B12" s="18" t="s">
        <v>457</v>
      </c>
      <c r="C12" s="1"/>
      <c r="D12" s="57" t="s">
        <v>450</v>
      </c>
      <c r="E12" s="52">
        <v>740</v>
      </c>
      <c r="F12" s="13">
        <f>ROUND(E12*(1-$F$9),9)</f>
        <v>666</v>
      </c>
      <c r="G12" s="27" t="s">
        <v>435</v>
      </c>
      <c r="H12" s="28">
        <f>F12*G12</f>
        <v>0</v>
      </c>
      <c r="I12" s="29">
        <f>0.56*G12</f>
        <v>0</v>
      </c>
      <c r="J12" s="31">
        <f>0.0018*G12</f>
        <v>0</v>
      </c>
      <c r="K12" s="7"/>
      <c r="L12" s="7"/>
      <c r="M12" s="7"/>
      <c r="N12" s="7"/>
      <c r="O12" s="7"/>
    </row>
    <row r="13" spans="1:15" ht="75" customHeight="1" x14ac:dyDescent="0.3">
      <c r="A13" s="8" t="s">
        <v>9</v>
      </c>
      <c r="B13" s="18" t="s">
        <v>218</v>
      </c>
      <c r="C13" s="1"/>
      <c r="D13" s="57" t="s">
        <v>451</v>
      </c>
      <c r="E13" s="52">
        <v>258</v>
      </c>
      <c r="F13" s="13">
        <f>ROUND(E13*(1-$F$9),9)</f>
        <v>232.2</v>
      </c>
      <c r="G13" s="27" t="s">
        <v>435</v>
      </c>
      <c r="H13" s="28">
        <f>F13*G13</f>
        <v>0</v>
      </c>
      <c r="I13" s="29">
        <f>0.48*G13</f>
        <v>0</v>
      </c>
      <c r="J13" s="31">
        <f>0.001*G13</f>
        <v>0</v>
      </c>
      <c r="K13" s="7"/>
      <c r="L13" s="7"/>
      <c r="M13" s="7"/>
      <c r="N13" s="7"/>
      <c r="O13" s="7"/>
    </row>
    <row r="14" spans="1:15" ht="75" customHeight="1" x14ac:dyDescent="0.3">
      <c r="A14" s="8" t="s">
        <v>10</v>
      </c>
      <c r="B14" s="18" t="s">
        <v>219</v>
      </c>
      <c r="C14" s="1"/>
      <c r="D14" s="57" t="s">
        <v>452</v>
      </c>
      <c r="E14" s="52">
        <v>84</v>
      </c>
      <c r="F14" s="13">
        <f>ROUND(E14*(1-$F$9),9)</f>
        <v>75.599999999999994</v>
      </c>
      <c r="G14" s="27" t="s">
        <v>435</v>
      </c>
      <c r="H14" s="28">
        <f>F14*G14</f>
        <v>0</v>
      </c>
      <c r="I14" s="29">
        <f>0.17*G14</f>
        <v>0</v>
      </c>
      <c r="J14" s="31">
        <f>0.00028*G14</f>
        <v>0</v>
      </c>
      <c r="K14" s="7"/>
      <c r="L14" s="7"/>
      <c r="M14" s="7"/>
      <c r="N14" s="7"/>
      <c r="O14" s="7"/>
    </row>
    <row r="15" spans="1:15" ht="75" customHeight="1" x14ac:dyDescent="0.3">
      <c r="A15" s="8" t="s">
        <v>12</v>
      </c>
      <c r="B15" s="18" t="s">
        <v>221</v>
      </c>
      <c r="C15" s="1"/>
      <c r="D15" s="57" t="s">
        <v>452</v>
      </c>
      <c r="E15" s="52">
        <v>110</v>
      </c>
      <c r="F15" s="13">
        <f>ROUND(E15*(1-$F$9),9)</f>
        <v>99</v>
      </c>
      <c r="G15" s="27" t="s">
        <v>435</v>
      </c>
      <c r="H15" s="28">
        <f>F15*G15</f>
        <v>0</v>
      </c>
      <c r="I15" s="29">
        <f>0.2*G15</f>
        <v>0</v>
      </c>
      <c r="J15" s="31">
        <f>0.00028*G15</f>
        <v>0</v>
      </c>
      <c r="K15" s="7"/>
      <c r="L15" s="7"/>
      <c r="M15" s="7"/>
      <c r="N15" s="7"/>
      <c r="O15" s="7"/>
    </row>
    <row r="16" spans="1:15" ht="82.5" customHeight="1" x14ac:dyDescent="0.3">
      <c r="A16" s="8" t="s">
        <v>13</v>
      </c>
      <c r="B16" s="18" t="s">
        <v>222</v>
      </c>
      <c r="C16" s="1"/>
      <c r="D16" s="57" t="s">
        <v>452</v>
      </c>
      <c r="E16" s="52">
        <v>130</v>
      </c>
      <c r="F16" s="13">
        <f>ROUND(E16*(1-$F$9),9)</f>
        <v>117</v>
      </c>
      <c r="G16" s="27" t="s">
        <v>435</v>
      </c>
      <c r="H16" s="28">
        <f>F16*G16</f>
        <v>0</v>
      </c>
      <c r="I16" s="29">
        <f>0.21*G16</f>
        <v>0</v>
      </c>
      <c r="J16" s="31">
        <f>0.00028*G16</f>
        <v>0</v>
      </c>
      <c r="K16" s="7"/>
      <c r="L16" s="7"/>
      <c r="M16" s="7"/>
      <c r="N16" s="7"/>
      <c r="O16" s="7"/>
    </row>
    <row r="17" spans="1:15" ht="89.25" customHeight="1" x14ac:dyDescent="0.3">
      <c r="A17" s="8" t="s">
        <v>14</v>
      </c>
      <c r="B17" s="18" t="s">
        <v>223</v>
      </c>
      <c r="C17" s="1"/>
      <c r="D17" s="57" t="s">
        <v>452</v>
      </c>
      <c r="E17" s="52">
        <v>247</v>
      </c>
      <c r="F17" s="13">
        <f>ROUND(E17*(1-$F$9),9)</f>
        <v>222.3</v>
      </c>
      <c r="G17" s="27" t="s">
        <v>435</v>
      </c>
      <c r="H17" s="28">
        <f>F17*G17</f>
        <v>0</v>
      </c>
      <c r="I17" s="29">
        <f>0.3*G17</f>
        <v>0</v>
      </c>
      <c r="J17" s="31">
        <f>0.0005*G17</f>
        <v>0</v>
      </c>
      <c r="K17" s="7"/>
      <c r="L17" s="7"/>
      <c r="M17" s="7"/>
      <c r="N17" s="7"/>
      <c r="O17" s="7"/>
    </row>
    <row r="18" spans="1:15" ht="85.5" customHeight="1" x14ac:dyDescent="0.3">
      <c r="A18" s="8" t="s">
        <v>23</v>
      </c>
      <c r="B18" s="18" t="s">
        <v>231</v>
      </c>
      <c r="C18" s="1"/>
      <c r="D18" s="57" t="s">
        <v>450</v>
      </c>
      <c r="E18" s="52">
        <v>280</v>
      </c>
      <c r="F18" s="13">
        <f>ROUND(E18*(1-$F$9),9)</f>
        <v>252</v>
      </c>
      <c r="G18" s="27" t="s">
        <v>435</v>
      </c>
      <c r="H18" s="28">
        <f>F18*G18</f>
        <v>0</v>
      </c>
      <c r="I18" s="29">
        <f>0.42*G18</f>
        <v>0</v>
      </c>
      <c r="J18" s="31">
        <f>0.001*G18</f>
        <v>0</v>
      </c>
      <c r="K18" s="7"/>
      <c r="L18" s="7"/>
      <c r="M18" s="7"/>
      <c r="N18" s="7"/>
      <c r="O18" s="7"/>
    </row>
    <row r="19" spans="1:15" ht="75" customHeight="1" x14ac:dyDescent="0.3">
      <c r="A19" s="8" t="s">
        <v>24</v>
      </c>
      <c r="B19" s="18" t="s">
        <v>232</v>
      </c>
      <c r="C19" s="1"/>
      <c r="D19" s="57" t="s">
        <v>453</v>
      </c>
      <c r="E19" s="52">
        <v>145</v>
      </c>
      <c r="F19" s="13">
        <f>ROUND(E19*(1-$F$9),9)</f>
        <v>130.5</v>
      </c>
      <c r="G19" s="27" t="s">
        <v>435</v>
      </c>
      <c r="H19" s="28">
        <f>F19*G19</f>
        <v>0</v>
      </c>
      <c r="I19" s="29">
        <f>0.14*G19</f>
        <v>0</v>
      </c>
      <c r="J19" s="31">
        <f>0.001*G19</f>
        <v>0</v>
      </c>
      <c r="K19" s="61"/>
      <c r="L19" s="61"/>
      <c r="M19" s="7"/>
      <c r="N19" s="7"/>
      <c r="O19" s="7"/>
    </row>
    <row r="20" spans="1:15" ht="38.25" customHeight="1" x14ac:dyDescent="0.3">
      <c r="A20" s="47" t="s">
        <v>431</v>
      </c>
      <c r="B20" s="48"/>
      <c r="C20" s="48"/>
      <c r="D20" s="48"/>
      <c r="E20" s="48"/>
      <c r="F20" s="48"/>
      <c r="G20" s="48"/>
      <c r="H20" s="48"/>
      <c r="I20" s="48"/>
      <c r="J20" s="90"/>
      <c r="K20" s="7"/>
      <c r="L20" s="7"/>
      <c r="M20" s="7"/>
      <c r="N20" s="7"/>
      <c r="O20" s="7"/>
    </row>
    <row r="21" spans="1:15" ht="73.5" customHeight="1" x14ac:dyDescent="0.3">
      <c r="A21" s="11" t="s">
        <v>2</v>
      </c>
      <c r="B21" s="5" t="s">
        <v>0</v>
      </c>
      <c r="C21" s="6"/>
      <c r="D21" s="67" t="s">
        <v>454</v>
      </c>
      <c r="E21" s="68">
        <v>100</v>
      </c>
      <c r="F21" s="12">
        <f>ROUND(E21*(1-$F$9),9)</f>
        <v>90</v>
      </c>
      <c r="G21" s="27" t="s">
        <v>435</v>
      </c>
      <c r="H21" s="28">
        <f>F21*G21</f>
        <v>0</v>
      </c>
      <c r="I21" s="25">
        <f>2.5*G21</f>
        <v>0</v>
      </c>
      <c r="J21" s="31">
        <f>0.004*G21</f>
        <v>0</v>
      </c>
      <c r="K21" s="61"/>
      <c r="L21" s="61"/>
      <c r="M21" s="7"/>
      <c r="N21" s="7"/>
      <c r="O21" s="7"/>
    </row>
    <row r="22" spans="1:15" ht="73.5" customHeight="1" x14ac:dyDescent="0.3">
      <c r="A22" s="8" t="s">
        <v>3</v>
      </c>
      <c r="B22" s="3" t="s">
        <v>1</v>
      </c>
      <c r="C22" s="1"/>
      <c r="D22" s="67" t="s">
        <v>458</v>
      </c>
      <c r="E22" s="68">
        <v>525</v>
      </c>
      <c r="F22" s="13">
        <f>ROUND(E22*(1-$F$9),9)</f>
        <v>472.5</v>
      </c>
      <c r="G22" s="37" t="s">
        <v>435</v>
      </c>
      <c r="H22" s="28">
        <f>F22*G22</f>
        <v>0</v>
      </c>
      <c r="I22" s="25">
        <f>0.65*G22</f>
        <v>0</v>
      </c>
      <c r="J22" s="31">
        <f>0.0016*G22</f>
        <v>0</v>
      </c>
      <c r="K22" s="61"/>
      <c r="L22" s="61"/>
      <c r="M22" s="7"/>
      <c r="N22" s="7"/>
      <c r="O22" s="7"/>
    </row>
    <row r="23" spans="1:15" ht="73.5" customHeight="1" x14ac:dyDescent="0.3">
      <c r="A23" s="62" t="s">
        <v>4</v>
      </c>
      <c r="B23" s="63" t="s">
        <v>215</v>
      </c>
      <c r="C23" s="64"/>
      <c r="D23" s="67" t="s">
        <v>459</v>
      </c>
      <c r="E23" s="68">
        <v>252</v>
      </c>
      <c r="F23" s="65">
        <f>ROUND(E23*(1-$F$9),9)</f>
        <v>226.8</v>
      </c>
      <c r="G23" s="37" t="s">
        <v>435</v>
      </c>
      <c r="H23" s="28">
        <f>F23*G23</f>
        <v>0</v>
      </c>
      <c r="I23" s="25">
        <f>0.25*G23</f>
        <v>0</v>
      </c>
      <c r="J23" s="31">
        <f>0.00055*G23</f>
        <v>0</v>
      </c>
      <c r="K23" s="61"/>
      <c r="L23" s="61"/>
      <c r="M23" s="7"/>
      <c r="N23" s="7"/>
      <c r="O23" s="7"/>
    </row>
    <row r="24" spans="1:15" ht="73.5" customHeight="1" x14ac:dyDescent="0.3">
      <c r="A24" s="62" t="s">
        <v>5</v>
      </c>
      <c r="B24" s="63" t="s">
        <v>216</v>
      </c>
      <c r="C24" s="64"/>
      <c r="D24" s="66" t="s">
        <v>460</v>
      </c>
      <c r="E24" s="68">
        <v>154</v>
      </c>
      <c r="F24" s="65">
        <f>ROUND(E24*(1-$F$9),9)</f>
        <v>138.6</v>
      </c>
      <c r="G24" s="37" t="s">
        <v>435</v>
      </c>
      <c r="H24" s="28">
        <f>F24*G24</f>
        <v>0</v>
      </c>
      <c r="I24" s="25">
        <f>2.5*G24</f>
        <v>0</v>
      </c>
      <c r="J24" s="31">
        <f>0.005*G24</f>
        <v>0</v>
      </c>
      <c r="K24" s="61"/>
      <c r="L24" s="61"/>
      <c r="M24" s="7"/>
      <c r="N24" s="7"/>
      <c r="O24" s="7"/>
    </row>
    <row r="25" spans="1:15" ht="73.5" customHeight="1" x14ac:dyDescent="0.3">
      <c r="A25" s="62" t="s">
        <v>6</v>
      </c>
      <c r="B25" s="63" t="s">
        <v>217</v>
      </c>
      <c r="C25" s="64"/>
      <c r="D25" s="66" t="s">
        <v>453</v>
      </c>
      <c r="E25" s="68">
        <v>320</v>
      </c>
      <c r="F25" s="65">
        <f>ROUND(E25*(1-$F$9),9)</f>
        <v>288</v>
      </c>
      <c r="G25" s="37" t="s">
        <v>435</v>
      </c>
      <c r="H25" s="28">
        <f>F25*G25</f>
        <v>0</v>
      </c>
      <c r="I25" s="22"/>
      <c r="J25" s="18"/>
      <c r="K25" s="61"/>
      <c r="L25" s="61"/>
      <c r="M25" s="7"/>
      <c r="N25" s="7"/>
      <c r="O25" s="7"/>
    </row>
    <row r="26" spans="1:15" ht="86.25" customHeight="1" x14ac:dyDescent="0.3">
      <c r="A26" s="62" t="s">
        <v>11</v>
      </c>
      <c r="B26" s="63" t="s">
        <v>220</v>
      </c>
      <c r="C26" s="64"/>
      <c r="D26" s="66" t="s">
        <v>459</v>
      </c>
      <c r="E26" s="68">
        <v>252</v>
      </c>
      <c r="F26" s="65">
        <f>ROUND(E26*(1-$F$9),9)</f>
        <v>226.8</v>
      </c>
      <c r="G26" s="37" t="s">
        <v>435</v>
      </c>
      <c r="H26" s="28">
        <f>F26*G26</f>
        <v>0</v>
      </c>
      <c r="I26" s="25">
        <f>9*G26</f>
        <v>0</v>
      </c>
      <c r="J26" s="31">
        <f>0.02*G26</f>
        <v>0</v>
      </c>
      <c r="K26" s="61"/>
      <c r="L26" s="61"/>
      <c r="M26" s="7"/>
      <c r="N26" s="7"/>
      <c r="O26" s="7"/>
    </row>
    <row r="27" spans="1:15" ht="81" customHeight="1" x14ac:dyDescent="0.3">
      <c r="A27" s="62" t="s">
        <v>15</v>
      </c>
      <c r="B27" s="63" t="s">
        <v>469</v>
      </c>
      <c r="C27" s="64"/>
      <c r="D27" s="66" t="s">
        <v>461</v>
      </c>
      <c r="E27" s="68">
        <v>726</v>
      </c>
      <c r="F27" s="65">
        <f>ROUND(E27*(1-$F$9),9)</f>
        <v>653.4</v>
      </c>
      <c r="G27" s="37" t="s">
        <v>435</v>
      </c>
      <c r="H27" s="28">
        <f>F27*G27</f>
        <v>0</v>
      </c>
      <c r="I27" s="25">
        <f>23*G27</f>
        <v>0</v>
      </c>
      <c r="J27" s="31">
        <f>0.036*G27</f>
        <v>0</v>
      </c>
      <c r="K27" s="61"/>
      <c r="L27" s="61"/>
      <c r="M27" s="7"/>
      <c r="N27" s="7"/>
      <c r="O27" s="7"/>
    </row>
    <row r="28" spans="1:15" ht="76.5" customHeight="1" x14ac:dyDescent="0.3">
      <c r="A28" s="62" t="s">
        <v>16</v>
      </c>
      <c r="B28" s="63" t="s">
        <v>224</v>
      </c>
      <c r="C28" s="64"/>
      <c r="D28" s="66" t="s">
        <v>462</v>
      </c>
      <c r="E28" s="68">
        <v>242</v>
      </c>
      <c r="F28" s="65">
        <f>ROUND(E28*(1-$F$9),9)</f>
        <v>217.8</v>
      </c>
      <c r="G28" s="37" t="s">
        <v>435</v>
      </c>
      <c r="H28" s="28">
        <f>F28*G28</f>
        <v>0</v>
      </c>
      <c r="I28" s="25">
        <f>26*G28</f>
        <v>0</v>
      </c>
      <c r="J28" s="31">
        <f>0.069*G28</f>
        <v>0</v>
      </c>
      <c r="K28" s="61"/>
      <c r="L28" s="61"/>
      <c r="M28" s="7"/>
      <c r="N28" s="7"/>
      <c r="O28" s="7"/>
    </row>
    <row r="29" spans="1:15" ht="79.5" customHeight="1" x14ac:dyDescent="0.3">
      <c r="A29" s="62" t="s">
        <v>17</v>
      </c>
      <c r="B29" s="63" t="s">
        <v>225</v>
      </c>
      <c r="C29" s="64"/>
      <c r="D29" s="66" t="s">
        <v>462</v>
      </c>
      <c r="E29" s="68">
        <v>242</v>
      </c>
      <c r="F29" s="65">
        <f>ROUND(E29*(1-$F$9),9)</f>
        <v>217.8</v>
      </c>
      <c r="G29" s="37" t="s">
        <v>435</v>
      </c>
      <c r="H29" s="28">
        <f>F29*G29</f>
        <v>0</v>
      </c>
      <c r="I29" s="25">
        <f>20*G29</f>
        <v>0</v>
      </c>
      <c r="J29" s="31">
        <f>0.039*G29</f>
        <v>0</v>
      </c>
      <c r="K29" s="61"/>
      <c r="L29" s="61"/>
      <c r="M29" s="7"/>
      <c r="N29" s="7"/>
      <c r="O29" s="7"/>
    </row>
    <row r="30" spans="1:15" ht="74.25" customHeight="1" x14ac:dyDescent="0.3">
      <c r="A30" s="62" t="s">
        <v>18</v>
      </c>
      <c r="B30" s="63" t="s">
        <v>226</v>
      </c>
      <c r="C30" s="64"/>
      <c r="D30" s="66" t="s">
        <v>459</v>
      </c>
      <c r="E30" s="68">
        <v>340</v>
      </c>
      <c r="F30" s="65">
        <f>ROUND(E30*(1-$F$9),9)</f>
        <v>306</v>
      </c>
      <c r="G30" s="37" t="s">
        <v>435</v>
      </c>
      <c r="H30" s="28">
        <f>F30*G30</f>
        <v>0</v>
      </c>
      <c r="I30" s="25">
        <f>17*G30</f>
        <v>0</v>
      </c>
      <c r="J30" s="31">
        <f>0.045*G30</f>
        <v>0</v>
      </c>
      <c r="K30" s="61"/>
      <c r="L30" s="61"/>
      <c r="M30" s="7"/>
      <c r="N30" s="7"/>
      <c r="O30" s="7"/>
    </row>
    <row r="31" spans="1:15" ht="69.75" customHeight="1" x14ac:dyDescent="0.3">
      <c r="A31" s="62" t="s">
        <v>19</v>
      </c>
      <c r="B31" s="63" t="s">
        <v>227</v>
      </c>
      <c r="C31" s="64"/>
      <c r="D31" s="66" t="s">
        <v>453</v>
      </c>
      <c r="E31" s="68">
        <v>471</v>
      </c>
      <c r="F31" s="65">
        <f>ROUND(E31*(1-$F$9),9)</f>
        <v>423.9</v>
      </c>
      <c r="G31" s="37" t="s">
        <v>435</v>
      </c>
      <c r="H31" s="28">
        <f>F31*G31</f>
        <v>0</v>
      </c>
      <c r="I31" s="22"/>
      <c r="J31" s="18"/>
      <c r="K31" s="61"/>
      <c r="L31" s="61"/>
      <c r="M31" s="7"/>
      <c r="N31" s="7"/>
      <c r="O31" s="7"/>
    </row>
    <row r="32" spans="1:15" ht="75" customHeight="1" x14ac:dyDescent="0.3">
      <c r="A32" s="62" t="s">
        <v>20</v>
      </c>
      <c r="B32" s="63" t="s">
        <v>228</v>
      </c>
      <c r="C32" s="64"/>
      <c r="D32" s="66" t="s">
        <v>463</v>
      </c>
      <c r="E32" s="68">
        <v>616</v>
      </c>
      <c r="F32" s="65">
        <f>ROUND(E32*(1-$F$9),9)</f>
        <v>554.4</v>
      </c>
      <c r="G32" s="37" t="s">
        <v>435</v>
      </c>
      <c r="H32" s="28">
        <f>F32*G32</f>
        <v>0</v>
      </c>
      <c r="I32" s="25">
        <f>18*G32</f>
        <v>0</v>
      </c>
      <c r="J32" s="31">
        <f>0.054*G32</f>
        <v>0</v>
      </c>
      <c r="K32" s="61"/>
      <c r="L32" s="61"/>
      <c r="M32" s="7"/>
      <c r="N32" s="7"/>
      <c r="O32" s="7"/>
    </row>
    <row r="33" spans="1:15" ht="66.75" customHeight="1" x14ac:dyDescent="0.3">
      <c r="A33" s="62" t="s">
        <v>21</v>
      </c>
      <c r="B33" s="63" t="s">
        <v>229</v>
      </c>
      <c r="C33" s="64"/>
      <c r="D33" s="66" t="s">
        <v>464</v>
      </c>
      <c r="E33" s="68">
        <v>258</v>
      </c>
      <c r="F33" s="65">
        <f>ROUND(E33*(1-$F$9),9)</f>
        <v>232.2</v>
      </c>
      <c r="G33" s="37" t="s">
        <v>435</v>
      </c>
      <c r="H33" s="28">
        <f>F33*G33</f>
        <v>0</v>
      </c>
      <c r="I33" s="25">
        <f>17*G33</f>
        <v>0</v>
      </c>
      <c r="J33" s="31">
        <f>0.042*G33</f>
        <v>0</v>
      </c>
      <c r="K33" s="61"/>
      <c r="L33" s="61"/>
      <c r="M33" s="7"/>
      <c r="N33" s="7"/>
      <c r="O33" s="7"/>
    </row>
    <row r="34" spans="1:15" ht="74.25" customHeight="1" x14ac:dyDescent="0.3">
      <c r="A34" s="62" t="s">
        <v>22</v>
      </c>
      <c r="B34" s="63" t="s">
        <v>230</v>
      </c>
      <c r="C34" s="64"/>
      <c r="D34" s="66" t="s">
        <v>465</v>
      </c>
      <c r="E34" s="68">
        <v>1176</v>
      </c>
      <c r="F34" s="65">
        <f>ROUND(E34*(1-$F$9),9)</f>
        <v>1058.4000000000001</v>
      </c>
      <c r="G34" s="37" t="s">
        <v>435</v>
      </c>
      <c r="H34" s="28">
        <f>F34*G34</f>
        <v>0</v>
      </c>
      <c r="I34" s="25">
        <f>13*G34</f>
        <v>0</v>
      </c>
      <c r="J34" s="31">
        <f>0.042*G34</f>
        <v>0</v>
      </c>
      <c r="K34" s="61"/>
      <c r="L34" s="61"/>
      <c r="M34" s="7"/>
      <c r="N34" s="7"/>
      <c r="O34" s="7"/>
    </row>
    <row r="35" spans="1:15" ht="83.25" customHeight="1" x14ac:dyDescent="0.3">
      <c r="A35" s="62" t="s">
        <v>25</v>
      </c>
      <c r="B35" s="63" t="s">
        <v>233</v>
      </c>
      <c r="C35" s="64"/>
      <c r="D35" s="66" t="s">
        <v>466</v>
      </c>
      <c r="E35" s="68">
        <v>247</v>
      </c>
      <c r="F35" s="65">
        <f>ROUND(E35*(1-$F$9),9)</f>
        <v>222.3</v>
      </c>
      <c r="G35" s="37" t="s">
        <v>435</v>
      </c>
      <c r="H35" s="28">
        <f>F35*G35</f>
        <v>0</v>
      </c>
      <c r="I35" s="22"/>
      <c r="J35" s="18"/>
      <c r="K35" s="61"/>
      <c r="L35" s="61"/>
      <c r="M35" s="7"/>
      <c r="N35" s="7"/>
      <c r="O35" s="7"/>
    </row>
    <row r="36" spans="1:15" ht="87.75" customHeight="1" x14ac:dyDescent="0.3">
      <c r="A36" s="62" t="s">
        <v>26</v>
      </c>
      <c r="B36" s="63" t="s">
        <v>234</v>
      </c>
      <c r="C36" s="64"/>
      <c r="D36" s="66" t="s">
        <v>467</v>
      </c>
      <c r="E36" s="68">
        <v>230</v>
      </c>
      <c r="F36" s="65">
        <f>ROUND(E36*(1-$F$9),9)</f>
        <v>207</v>
      </c>
      <c r="G36" s="37" t="s">
        <v>435</v>
      </c>
      <c r="H36" s="28">
        <f>F36*G36</f>
        <v>0</v>
      </c>
      <c r="I36" s="25">
        <f>17*G36</f>
        <v>0</v>
      </c>
      <c r="J36" s="31">
        <f>0.033*G36</f>
        <v>0</v>
      </c>
      <c r="K36" s="61"/>
      <c r="L36" s="61"/>
      <c r="M36" s="7"/>
      <c r="N36" s="7"/>
      <c r="O36" s="7"/>
    </row>
    <row r="37" spans="1:15" ht="90.75" customHeight="1" x14ac:dyDescent="0.3">
      <c r="A37" s="62" t="s">
        <v>27</v>
      </c>
      <c r="B37" s="63" t="s">
        <v>235</v>
      </c>
      <c r="C37" s="64"/>
      <c r="D37" s="66" t="s">
        <v>468</v>
      </c>
      <c r="E37" s="68">
        <v>382</v>
      </c>
      <c r="F37" s="65">
        <f>ROUND(E37*(1-$F$9),9)</f>
        <v>343.8</v>
      </c>
      <c r="G37" s="37" t="s">
        <v>435</v>
      </c>
      <c r="H37" s="28">
        <f>F37*G37</f>
        <v>0</v>
      </c>
      <c r="I37" s="25">
        <f>22*G37</f>
        <v>0</v>
      </c>
      <c r="J37" s="31">
        <f>0.07*G37</f>
        <v>0</v>
      </c>
      <c r="K37" s="61"/>
      <c r="L37" s="61"/>
      <c r="M37" s="7"/>
      <c r="N37" s="7"/>
      <c r="O37" s="7"/>
    </row>
    <row r="38" spans="1:15" ht="34.5" customHeight="1" x14ac:dyDescent="0.3">
      <c r="A38" s="41" t="s">
        <v>432</v>
      </c>
      <c r="B38" s="42"/>
      <c r="C38" s="42"/>
      <c r="D38" s="42"/>
      <c r="E38" s="43"/>
      <c r="F38" s="44"/>
      <c r="G38" s="17">
        <f>G37+G36+G35+G34+G33+G32+G31+G30+G29+G28+G27+G26+G25+G24+G23+G22+G21+G19+G18+G17+G16+G15+G14+G13+G12+G11</f>
        <v>0</v>
      </c>
      <c r="H38" s="15">
        <f>H37+H36+H35+H34+H33+H32+H31+H30+H29+H28+H27+H26+H25+H24+H23+H22+H21+H19+H18+H17+H16+H15+H14+H13+H12+H11</f>
        <v>0</v>
      </c>
      <c r="I38" s="32" t="e">
        <f>I11+I12+I13+I14+I15+I16+I17+I18+I19+I21+I22+I23+I25+#REF!+I26+I27+I28+I29+I30+I31+I32+I33+I34+I35+I36+I37</f>
        <v>#REF!</v>
      </c>
      <c r="J38" s="33" t="e">
        <f>J11+J12+J13+J14+J14+J15+J16+J17+J18+J19+J21+J22+J23+J24+J25+#REF!+J26+J27+J28+J29+J30+J31+J32+J33+J34+J35+J36+J37</f>
        <v>#REF!</v>
      </c>
      <c r="K38" s="61"/>
      <c r="L38" s="61"/>
      <c r="M38" s="7"/>
      <c r="N38" s="7"/>
      <c r="O38" s="7"/>
    </row>
    <row r="39" spans="1:15" ht="45.75" customHeight="1" x14ac:dyDescent="0.3">
      <c r="A39" s="47" t="s">
        <v>436</v>
      </c>
      <c r="B39" s="48"/>
      <c r="C39" s="48"/>
      <c r="D39" s="48"/>
      <c r="E39" s="48"/>
      <c r="F39" s="48"/>
      <c r="G39" s="48"/>
      <c r="H39" s="48"/>
      <c r="I39" s="48"/>
      <c r="J39" s="90"/>
      <c r="K39" s="61"/>
      <c r="L39" s="61"/>
      <c r="M39" s="7"/>
      <c r="N39" s="7"/>
      <c r="O39" s="7"/>
    </row>
    <row r="40" spans="1:15" ht="81.75" customHeight="1" x14ac:dyDescent="0.3">
      <c r="A40" s="8" t="s">
        <v>28</v>
      </c>
      <c r="B40" s="3" t="s">
        <v>236</v>
      </c>
      <c r="C40" s="1"/>
      <c r="D40" s="57" t="s">
        <v>471</v>
      </c>
      <c r="E40" s="68">
        <v>605</v>
      </c>
      <c r="F40" s="13">
        <f>ROUND(E40*(1-$F$9),9)</f>
        <v>544.5</v>
      </c>
      <c r="G40" s="38">
        <v>0</v>
      </c>
      <c r="H40" s="39">
        <f>F40*G40</f>
        <v>0</v>
      </c>
      <c r="I40" s="22">
        <f>13*G40</f>
        <v>0</v>
      </c>
      <c r="J40" s="18">
        <f>0.041*G40</f>
        <v>0</v>
      </c>
      <c r="K40" s="61"/>
      <c r="L40" s="61"/>
      <c r="M40" s="7"/>
      <c r="N40" s="7"/>
      <c r="O40" s="7"/>
    </row>
    <row r="41" spans="1:15" ht="87" customHeight="1" x14ac:dyDescent="0.3">
      <c r="A41" s="62" t="s">
        <v>29</v>
      </c>
      <c r="B41" s="63" t="s">
        <v>237</v>
      </c>
      <c r="C41" s="64"/>
      <c r="D41" s="57" t="s">
        <v>453</v>
      </c>
      <c r="E41" s="68">
        <v>185</v>
      </c>
      <c r="F41" s="65">
        <f>ROUND(E41*(1-$F$9),9)</f>
        <v>166.5</v>
      </c>
      <c r="G41" s="38">
        <v>0</v>
      </c>
      <c r="H41" s="39">
        <f>F41*G41</f>
        <v>0</v>
      </c>
      <c r="I41" s="22"/>
      <c r="J41" s="18"/>
      <c r="K41" s="61"/>
      <c r="L41" s="61"/>
      <c r="M41" s="7"/>
      <c r="N41" s="7"/>
      <c r="O41" s="7"/>
    </row>
    <row r="42" spans="1:15" ht="64.5" customHeight="1" x14ac:dyDescent="0.3">
      <c r="A42" s="62" t="s">
        <v>30</v>
      </c>
      <c r="B42" s="63" t="s">
        <v>238</v>
      </c>
      <c r="C42" s="64"/>
      <c r="D42" s="57" t="s">
        <v>466</v>
      </c>
      <c r="E42" s="68">
        <v>397</v>
      </c>
      <c r="F42" s="65">
        <f>ROUND(E42*(1-$F$9),9)</f>
        <v>357.3</v>
      </c>
      <c r="G42" s="38">
        <v>0</v>
      </c>
      <c r="H42" s="39">
        <f>F42*G42</f>
        <v>0</v>
      </c>
      <c r="I42" s="22"/>
      <c r="J42" s="18"/>
      <c r="K42" s="61"/>
      <c r="L42" s="61"/>
      <c r="M42" s="7"/>
      <c r="N42" s="7"/>
      <c r="O42" s="7"/>
    </row>
    <row r="43" spans="1:15" ht="78" customHeight="1" x14ac:dyDescent="0.3">
      <c r="A43" s="62" t="s">
        <v>31</v>
      </c>
      <c r="B43" s="63" t="s">
        <v>239</v>
      </c>
      <c r="C43" s="64"/>
      <c r="D43" s="57" t="s">
        <v>472</v>
      </c>
      <c r="E43" s="68">
        <v>908</v>
      </c>
      <c r="F43" s="65">
        <f>ROUND(E43*(1-$F$9),9)</f>
        <v>817.2</v>
      </c>
      <c r="G43" s="38">
        <v>0</v>
      </c>
      <c r="H43" s="39">
        <f>F43*G43</f>
        <v>0</v>
      </c>
      <c r="I43" s="22"/>
      <c r="J43" s="18"/>
      <c r="K43" s="61"/>
      <c r="L43" s="61"/>
      <c r="M43" s="7"/>
      <c r="N43" s="7"/>
      <c r="O43" s="7"/>
    </row>
    <row r="44" spans="1:15" ht="87.75" customHeight="1" x14ac:dyDescent="0.3">
      <c r="A44" s="62" t="s">
        <v>32</v>
      </c>
      <c r="B44" s="63" t="s">
        <v>240</v>
      </c>
      <c r="C44" s="64"/>
      <c r="D44" s="57" t="s">
        <v>453</v>
      </c>
      <c r="E44" s="68">
        <v>740</v>
      </c>
      <c r="F44" s="65">
        <f>ROUND(E44*(1-$F$9),9)</f>
        <v>666</v>
      </c>
      <c r="G44" s="38">
        <v>0</v>
      </c>
      <c r="H44" s="39">
        <f>F44*G44</f>
        <v>0</v>
      </c>
      <c r="I44" s="22"/>
      <c r="J44" s="18"/>
      <c r="K44" s="61"/>
      <c r="L44" s="61"/>
      <c r="M44" s="7"/>
      <c r="N44" s="7"/>
      <c r="O44" s="7"/>
    </row>
    <row r="45" spans="1:15" ht="74.25" customHeight="1" x14ac:dyDescent="0.3">
      <c r="A45" s="62" t="s">
        <v>33</v>
      </c>
      <c r="B45" s="63" t="s">
        <v>241</v>
      </c>
      <c r="C45" s="64"/>
      <c r="D45" s="57" t="s">
        <v>466</v>
      </c>
      <c r="E45" s="68">
        <v>538</v>
      </c>
      <c r="F45" s="65">
        <f>ROUND(E45*(1-$F$9),9)</f>
        <v>484.2</v>
      </c>
      <c r="G45" s="38">
        <v>0</v>
      </c>
      <c r="H45" s="39">
        <f>F45*G45</f>
        <v>0</v>
      </c>
      <c r="I45" s="22"/>
      <c r="J45" s="18"/>
      <c r="K45" s="61"/>
      <c r="L45" s="61"/>
      <c r="M45" s="7"/>
      <c r="N45" s="7"/>
      <c r="O45" s="7"/>
    </row>
    <row r="46" spans="1:15" ht="73.5" customHeight="1" thickBot="1" x14ac:dyDescent="0.35">
      <c r="A46" s="62" t="s">
        <v>34</v>
      </c>
      <c r="B46" s="63" t="s">
        <v>242</v>
      </c>
      <c r="C46" s="64"/>
      <c r="D46" s="57" t="s">
        <v>473</v>
      </c>
      <c r="E46" s="68">
        <v>3721</v>
      </c>
      <c r="F46" s="65">
        <f>ROUND(E46*(1-$F$9),9)</f>
        <v>3348.9</v>
      </c>
      <c r="G46" s="38">
        <v>0</v>
      </c>
      <c r="H46" s="39">
        <f>F46*G46</f>
        <v>0</v>
      </c>
      <c r="I46" s="22"/>
      <c r="J46" s="18"/>
      <c r="K46" s="61"/>
      <c r="L46" s="61"/>
      <c r="M46" s="7"/>
      <c r="N46" s="7"/>
      <c r="O46" s="7"/>
    </row>
    <row r="47" spans="1:15" ht="42.75" customHeight="1" thickBot="1" x14ac:dyDescent="0.35">
      <c r="A47" s="49" t="s">
        <v>434</v>
      </c>
      <c r="B47" s="91"/>
      <c r="C47" s="91"/>
      <c r="D47" s="91"/>
      <c r="E47" s="91"/>
      <c r="F47" s="91"/>
      <c r="G47" s="91"/>
      <c r="H47" s="91"/>
      <c r="I47" s="91"/>
      <c r="J47" s="92"/>
      <c r="K47" s="61"/>
      <c r="L47" s="61"/>
      <c r="M47" s="7"/>
      <c r="N47" s="7"/>
      <c r="O47" s="7"/>
    </row>
    <row r="48" spans="1:15" ht="81" customHeight="1" x14ac:dyDescent="0.3">
      <c r="A48" s="11" t="s">
        <v>35</v>
      </c>
      <c r="B48" s="5" t="s">
        <v>243</v>
      </c>
      <c r="C48" s="6"/>
      <c r="D48" s="57" t="s">
        <v>466</v>
      </c>
      <c r="E48" s="68">
        <v>89</v>
      </c>
      <c r="F48" s="12">
        <f>ROUND(E48*(1-$F$9),9)</f>
        <v>80.099999999999994</v>
      </c>
      <c r="G48" s="40">
        <v>0</v>
      </c>
      <c r="H48" s="28">
        <f>F48*G48</f>
        <v>0</v>
      </c>
      <c r="I48" s="21">
        <f>11*G48</f>
        <v>0</v>
      </c>
      <c r="J48" s="20">
        <f>0.076*G48</f>
        <v>0</v>
      </c>
      <c r="K48" s="61"/>
      <c r="L48" s="61"/>
      <c r="M48" s="7"/>
      <c r="N48" s="7"/>
      <c r="O48" s="7"/>
    </row>
    <row r="49" spans="1:15" ht="78.75" customHeight="1" x14ac:dyDescent="0.3">
      <c r="A49" s="8" t="s">
        <v>36</v>
      </c>
      <c r="B49" s="3" t="s">
        <v>244</v>
      </c>
      <c r="C49" s="1"/>
      <c r="D49" s="57" t="s">
        <v>470</v>
      </c>
      <c r="E49" s="68">
        <v>296</v>
      </c>
      <c r="F49" s="13">
        <f>ROUND(E49*(1-$F$9),9)</f>
        <v>266.39999999999998</v>
      </c>
      <c r="G49" s="38">
        <v>0</v>
      </c>
      <c r="H49" s="28">
        <f>F49*G49</f>
        <v>0</v>
      </c>
      <c r="I49" s="22">
        <f>10*G49</f>
        <v>0</v>
      </c>
      <c r="J49" s="18">
        <f>0.059*G49</f>
        <v>0</v>
      </c>
      <c r="K49" s="61"/>
      <c r="L49" s="61"/>
      <c r="M49" s="7"/>
      <c r="N49" s="7"/>
      <c r="O49" s="7"/>
    </row>
    <row r="50" spans="1:15" ht="72.75" customHeight="1" x14ac:dyDescent="0.3">
      <c r="A50" s="8" t="s">
        <v>37</v>
      </c>
      <c r="B50" s="3" t="s">
        <v>245</v>
      </c>
      <c r="C50" s="1"/>
      <c r="D50" s="57" t="s">
        <v>453</v>
      </c>
      <c r="E50" s="68">
        <v>370</v>
      </c>
      <c r="F50" s="13">
        <f>ROUND(E50*(1-$F$9),9)</f>
        <v>333</v>
      </c>
      <c r="G50" s="38">
        <v>0</v>
      </c>
      <c r="H50" s="28">
        <f>F50*G50</f>
        <v>0</v>
      </c>
      <c r="I50" s="22">
        <f>20*G50</f>
        <v>0</v>
      </c>
      <c r="J50" s="18">
        <f>0.095*G50</f>
        <v>0</v>
      </c>
      <c r="K50" s="61"/>
      <c r="L50" s="61"/>
      <c r="M50" s="7"/>
      <c r="N50" s="7"/>
      <c r="O50" s="7"/>
    </row>
    <row r="51" spans="1:15" ht="81" customHeight="1" x14ac:dyDescent="0.3">
      <c r="A51" s="8" t="s">
        <v>38</v>
      </c>
      <c r="B51" s="3" t="s">
        <v>246</v>
      </c>
      <c r="C51" s="1"/>
      <c r="D51" s="57" t="s">
        <v>453</v>
      </c>
      <c r="E51" s="68">
        <v>192</v>
      </c>
      <c r="F51" s="13">
        <f>ROUND(E51*(1-$F$9),9)</f>
        <v>172.8</v>
      </c>
      <c r="G51" s="38">
        <v>0</v>
      </c>
      <c r="H51" s="28">
        <f>F51*G51</f>
        <v>0</v>
      </c>
      <c r="I51" s="22">
        <f>7*G51</f>
        <v>0</v>
      </c>
      <c r="J51" s="18">
        <f>0.052*G51</f>
        <v>0</v>
      </c>
      <c r="K51" s="61"/>
      <c r="L51" s="61"/>
      <c r="M51" s="7"/>
      <c r="N51" s="7"/>
      <c r="O51" s="7"/>
    </row>
    <row r="52" spans="1:15" ht="81.75" customHeight="1" x14ac:dyDescent="0.3">
      <c r="A52" s="62" t="s">
        <v>39</v>
      </c>
      <c r="B52" s="63" t="s">
        <v>247</v>
      </c>
      <c r="C52" s="64"/>
      <c r="D52" s="57" t="s">
        <v>458</v>
      </c>
      <c r="E52" s="68">
        <v>646</v>
      </c>
      <c r="F52" s="65">
        <f>ROUND(E52*(1-$F$9),9)</f>
        <v>581.4</v>
      </c>
      <c r="G52" s="38">
        <v>0</v>
      </c>
      <c r="H52" s="28">
        <f>F52*G52</f>
        <v>0</v>
      </c>
      <c r="I52" s="22">
        <f>9*G52</f>
        <v>0</v>
      </c>
      <c r="J52" s="18">
        <f>0.024*G52</f>
        <v>0</v>
      </c>
      <c r="K52" s="61"/>
      <c r="L52" s="61"/>
      <c r="M52" s="7"/>
      <c r="N52" s="7"/>
      <c r="O52" s="7"/>
    </row>
    <row r="53" spans="1:15" ht="75" customHeight="1" x14ac:dyDescent="0.3">
      <c r="A53" s="62" t="s">
        <v>40</v>
      </c>
      <c r="B53" s="63" t="s">
        <v>248</v>
      </c>
      <c r="C53" s="64"/>
      <c r="D53" s="57" t="s">
        <v>458</v>
      </c>
      <c r="E53" s="68">
        <v>699</v>
      </c>
      <c r="F53" s="65">
        <f>ROUND(E53*(1-$F$9),9)</f>
        <v>629.1</v>
      </c>
      <c r="G53" s="38">
        <v>0</v>
      </c>
      <c r="H53" s="28">
        <f>F53*G53</f>
        <v>0</v>
      </c>
      <c r="I53" s="22"/>
      <c r="J53" s="18"/>
      <c r="K53" s="61"/>
      <c r="L53" s="61"/>
      <c r="M53" s="7"/>
      <c r="N53" s="7"/>
      <c r="O53" s="7"/>
    </row>
    <row r="54" spans="1:15" ht="39" customHeight="1" x14ac:dyDescent="0.3">
      <c r="A54" s="47" t="s">
        <v>437</v>
      </c>
      <c r="B54" s="48"/>
      <c r="C54" s="48"/>
      <c r="D54" s="48"/>
      <c r="E54" s="48"/>
      <c r="F54" s="48"/>
      <c r="G54" s="48"/>
      <c r="H54" s="48"/>
      <c r="I54" s="48"/>
      <c r="J54" s="90"/>
      <c r="K54" s="61"/>
      <c r="L54" s="61"/>
      <c r="M54" s="7"/>
      <c r="N54" s="7"/>
      <c r="O54" s="7"/>
    </row>
    <row r="55" spans="1:15" ht="80.25" customHeight="1" x14ac:dyDescent="0.3">
      <c r="A55" s="62" t="s">
        <v>41</v>
      </c>
      <c r="B55" s="63" t="s">
        <v>249</v>
      </c>
      <c r="C55" s="64"/>
      <c r="D55" s="57" t="s">
        <v>474</v>
      </c>
      <c r="E55" s="68">
        <v>100</v>
      </c>
      <c r="F55" s="65">
        <f>ROUND(E55*(1-$F$9),9)</f>
        <v>90</v>
      </c>
      <c r="G55" s="38">
        <v>0</v>
      </c>
      <c r="H55" s="39">
        <f>F55*G55</f>
        <v>0</v>
      </c>
      <c r="I55" s="22">
        <f>10*G55</f>
        <v>0</v>
      </c>
      <c r="J55" s="18">
        <f>0.032*G55</f>
        <v>0</v>
      </c>
      <c r="K55" s="61"/>
      <c r="L55" s="61"/>
      <c r="M55" s="7"/>
      <c r="N55" s="7"/>
      <c r="O55" s="7"/>
    </row>
    <row r="56" spans="1:15" ht="87" customHeight="1" x14ac:dyDescent="0.3">
      <c r="A56" s="62" t="s">
        <v>42</v>
      </c>
      <c r="B56" s="63" t="s">
        <v>250</v>
      </c>
      <c r="C56" s="64"/>
      <c r="D56" s="57" t="s">
        <v>464</v>
      </c>
      <c r="E56" s="68">
        <v>392</v>
      </c>
      <c r="F56" s="65">
        <f>ROUND(E56*(1-$F$9),9)</f>
        <v>352.8</v>
      </c>
      <c r="G56" s="38">
        <v>0</v>
      </c>
      <c r="H56" s="39">
        <f>F56*G56</f>
        <v>0</v>
      </c>
      <c r="I56" s="22">
        <f>20*G56</f>
        <v>0</v>
      </c>
      <c r="J56" s="18">
        <f>0.051*G56</f>
        <v>0</v>
      </c>
      <c r="K56" s="61"/>
      <c r="L56" s="61"/>
      <c r="M56" s="7"/>
      <c r="N56" s="7"/>
      <c r="O56" s="7"/>
    </row>
    <row r="57" spans="1:15" ht="76.5" customHeight="1" x14ac:dyDescent="0.3">
      <c r="A57" s="62" t="s">
        <v>43</v>
      </c>
      <c r="B57" s="63" t="s">
        <v>251</v>
      </c>
      <c r="C57" s="64"/>
      <c r="D57" s="57" t="s">
        <v>454</v>
      </c>
      <c r="E57" s="68">
        <v>247</v>
      </c>
      <c r="F57" s="65">
        <f>ROUND(E57*(1-$F$9),9)</f>
        <v>222.3</v>
      </c>
      <c r="G57" s="38">
        <v>0</v>
      </c>
      <c r="H57" s="39">
        <f>F57*G57</f>
        <v>0</v>
      </c>
      <c r="I57" s="22"/>
      <c r="J57" s="18"/>
      <c r="K57" s="61"/>
      <c r="L57" s="61"/>
      <c r="M57" s="7"/>
      <c r="N57" s="7"/>
      <c r="O57" s="7"/>
    </row>
    <row r="58" spans="1:15" ht="79.5" customHeight="1" x14ac:dyDescent="0.3">
      <c r="A58" s="62" t="s">
        <v>44</v>
      </c>
      <c r="B58" s="63" t="s">
        <v>252</v>
      </c>
      <c r="C58" s="64"/>
      <c r="D58" s="57" t="s">
        <v>454</v>
      </c>
      <c r="E58" s="68">
        <v>289</v>
      </c>
      <c r="F58" s="65">
        <f>ROUND(E58*(1-$F$9),9)</f>
        <v>260.10000000000002</v>
      </c>
      <c r="G58" s="38">
        <v>0</v>
      </c>
      <c r="H58" s="39">
        <f>F58*G58</f>
        <v>0</v>
      </c>
      <c r="I58" s="22">
        <f>10*G58</f>
        <v>0</v>
      </c>
      <c r="J58" s="18">
        <f>0.05*G58</f>
        <v>0</v>
      </c>
      <c r="K58" s="61"/>
      <c r="L58" s="61"/>
      <c r="M58" s="7"/>
      <c r="N58" s="7"/>
      <c r="O58" s="7"/>
    </row>
    <row r="59" spans="1:15" ht="67.5" customHeight="1" x14ac:dyDescent="0.3">
      <c r="A59" s="62" t="s">
        <v>45</v>
      </c>
      <c r="B59" s="63" t="s">
        <v>253</v>
      </c>
      <c r="C59" s="64"/>
      <c r="D59" s="57" t="s">
        <v>454</v>
      </c>
      <c r="E59" s="68">
        <v>370</v>
      </c>
      <c r="F59" s="65">
        <f>ROUND(E59*(1-$F$9),9)</f>
        <v>333</v>
      </c>
      <c r="G59" s="38">
        <v>0</v>
      </c>
      <c r="H59" s="39">
        <f>F59*G59</f>
        <v>0</v>
      </c>
      <c r="I59" s="22">
        <f>10*G59</f>
        <v>0</v>
      </c>
      <c r="J59" s="18">
        <f>0.042*G59</f>
        <v>0</v>
      </c>
      <c r="K59" s="61"/>
      <c r="L59" s="61"/>
      <c r="M59" s="7"/>
      <c r="N59" s="7"/>
      <c r="O59" s="7"/>
    </row>
    <row r="60" spans="1:15" ht="69" customHeight="1" x14ac:dyDescent="0.3">
      <c r="A60" s="62" t="s">
        <v>425</v>
      </c>
      <c r="B60" s="63" t="s">
        <v>254</v>
      </c>
      <c r="C60" s="64"/>
      <c r="D60" s="57" t="s">
        <v>475</v>
      </c>
      <c r="E60" s="68">
        <v>708</v>
      </c>
      <c r="F60" s="65">
        <f>ROUND(E60*(1-$F$9),9)</f>
        <v>637.20000000000005</v>
      </c>
      <c r="G60" s="38">
        <v>0</v>
      </c>
      <c r="H60" s="39">
        <f>F60*G60</f>
        <v>0</v>
      </c>
      <c r="I60" s="22">
        <f>18*G60</f>
        <v>0</v>
      </c>
      <c r="J60" s="18">
        <f>0.046*G60</f>
        <v>0</v>
      </c>
      <c r="K60" s="61"/>
      <c r="L60" s="61"/>
      <c r="M60" s="7"/>
      <c r="N60" s="7"/>
      <c r="O60" s="7"/>
    </row>
    <row r="61" spans="1:15" ht="69.75" customHeight="1" x14ac:dyDescent="0.3">
      <c r="A61" s="62" t="s">
        <v>46</v>
      </c>
      <c r="B61" s="63" t="s">
        <v>255</v>
      </c>
      <c r="C61" s="64"/>
      <c r="D61" s="57" t="s">
        <v>453</v>
      </c>
      <c r="E61" s="68">
        <v>693</v>
      </c>
      <c r="F61" s="65">
        <f>ROUND(E61*(1-$F$9),9)</f>
        <v>623.70000000000005</v>
      </c>
      <c r="G61" s="38">
        <v>0</v>
      </c>
      <c r="H61" s="39">
        <f>F61*G61</f>
        <v>0</v>
      </c>
      <c r="I61" s="22">
        <f>17*G61</f>
        <v>0</v>
      </c>
      <c r="J61" s="18">
        <f>0.045*G61</f>
        <v>0</v>
      </c>
      <c r="K61" s="61"/>
      <c r="L61" s="61"/>
      <c r="M61" s="7"/>
      <c r="N61" s="7"/>
      <c r="O61" s="7"/>
    </row>
    <row r="62" spans="1:15" ht="61.5" customHeight="1" x14ac:dyDescent="0.3">
      <c r="A62" s="62" t="s">
        <v>47</v>
      </c>
      <c r="B62" s="63" t="s">
        <v>256</v>
      </c>
      <c r="C62" s="64"/>
      <c r="D62" s="57" t="s">
        <v>474</v>
      </c>
      <c r="E62" s="68">
        <v>964</v>
      </c>
      <c r="F62" s="65">
        <f>ROUND(E62*(1-$F$9),9)</f>
        <v>867.6</v>
      </c>
      <c r="G62" s="38">
        <v>0</v>
      </c>
      <c r="H62" s="39">
        <f>F62*G62</f>
        <v>0</v>
      </c>
      <c r="I62" s="22">
        <f>13*G62</f>
        <v>0</v>
      </c>
      <c r="J62" s="18">
        <f>0.063*G62</f>
        <v>0</v>
      </c>
      <c r="K62" s="61"/>
      <c r="L62" s="61"/>
      <c r="M62" s="7"/>
      <c r="N62" s="7"/>
      <c r="O62" s="7"/>
    </row>
    <row r="63" spans="1:15" ht="64.5" customHeight="1" x14ac:dyDescent="0.3">
      <c r="A63" s="62" t="s">
        <v>48</v>
      </c>
      <c r="B63" s="63" t="s">
        <v>257</v>
      </c>
      <c r="C63" s="64"/>
      <c r="D63" s="57" t="s">
        <v>454</v>
      </c>
      <c r="E63" s="68">
        <v>406</v>
      </c>
      <c r="F63" s="65">
        <f>ROUND(E63*(1-$F$9),9)</f>
        <v>365.4</v>
      </c>
      <c r="G63" s="38">
        <v>0</v>
      </c>
      <c r="H63" s="39">
        <f>F63*G63</f>
        <v>0</v>
      </c>
      <c r="I63" s="22">
        <f>9*G63</f>
        <v>0</v>
      </c>
      <c r="J63" s="18">
        <f>0.065*G63</f>
        <v>0</v>
      </c>
      <c r="K63" s="61"/>
      <c r="L63" s="61"/>
      <c r="M63" s="7"/>
      <c r="N63" s="7"/>
      <c r="O63" s="7"/>
    </row>
    <row r="64" spans="1:15" ht="74.25" customHeight="1" x14ac:dyDescent="0.3">
      <c r="A64" s="62" t="s">
        <v>49</v>
      </c>
      <c r="B64" s="63" t="s">
        <v>258</v>
      </c>
      <c r="C64" s="64"/>
      <c r="D64" s="57" t="s">
        <v>454</v>
      </c>
      <c r="E64" s="68">
        <v>1098</v>
      </c>
      <c r="F64" s="65">
        <f>ROUND(E64*(1-$F$9),9)</f>
        <v>988.2</v>
      </c>
      <c r="G64" s="38">
        <v>0</v>
      </c>
      <c r="H64" s="39">
        <f>F64*G64</f>
        <v>0</v>
      </c>
      <c r="I64" s="22">
        <f>9*G64</f>
        <v>0</v>
      </c>
      <c r="J64" s="18">
        <f>0.025*G64</f>
        <v>0</v>
      </c>
      <c r="K64" s="61"/>
      <c r="L64" s="61"/>
      <c r="M64" s="7"/>
      <c r="N64" s="7"/>
      <c r="O64" s="7"/>
    </row>
    <row r="65" spans="1:15" ht="60.75" customHeight="1" x14ac:dyDescent="0.3">
      <c r="A65" s="62" t="s">
        <v>50</v>
      </c>
      <c r="B65" s="63" t="s">
        <v>259</v>
      </c>
      <c r="C65" s="64"/>
      <c r="D65" s="57" t="s">
        <v>454</v>
      </c>
      <c r="E65" s="68">
        <v>1624</v>
      </c>
      <c r="F65" s="65">
        <f>ROUND(E65*(1-$F$9),9)</f>
        <v>1461.6</v>
      </c>
      <c r="G65" s="38">
        <v>0</v>
      </c>
      <c r="H65" s="39">
        <f>F65*G65</f>
        <v>0</v>
      </c>
      <c r="I65" s="22">
        <f>10*G65</f>
        <v>0</v>
      </c>
      <c r="J65" s="18">
        <f>0.032*G65</f>
        <v>0</v>
      </c>
      <c r="K65" s="61"/>
      <c r="L65" s="61"/>
      <c r="M65" s="7"/>
      <c r="N65" s="7"/>
      <c r="O65" s="7"/>
    </row>
    <row r="66" spans="1:15" ht="38.25" customHeight="1" x14ac:dyDescent="0.3">
      <c r="A66" s="41" t="s">
        <v>438</v>
      </c>
      <c r="B66" s="42"/>
      <c r="C66" s="42"/>
      <c r="D66" s="42"/>
      <c r="E66" s="42"/>
      <c r="F66" s="42"/>
      <c r="G66" s="16">
        <f>G65+G64+G63+G62+G61+G60+G59+G58+G57+G56+G55+G53+G52+G51+G50+G49+G48+G46+G45+G44+G43+G42+G41+G40</f>
        <v>0</v>
      </c>
      <c r="H66" s="15">
        <f>H65+H64+H63+H62+H61+H60+H59+H58+H57+H56+H55+H53+H52+H51+H50+H49+H48+H46+H45+H44+H43+H42+H41+H40</f>
        <v>0</v>
      </c>
      <c r="I66" s="23">
        <f>SUM(I40:I46)+SUM(I48:I53)+SUM(I55:I65)</f>
        <v>0</v>
      </c>
      <c r="J66" s="24">
        <f>SUM(J40:J46)+SUM(J48:J53)+SUM(J55:J65)</f>
        <v>0</v>
      </c>
      <c r="K66" s="61"/>
      <c r="L66" s="61"/>
      <c r="M66" s="7"/>
      <c r="N66" s="7"/>
      <c r="O66" s="7"/>
    </row>
    <row r="67" spans="1:15" ht="38.25" customHeight="1" x14ac:dyDescent="0.3">
      <c r="A67" s="47" t="s">
        <v>439</v>
      </c>
      <c r="B67" s="48"/>
      <c r="C67" s="48"/>
      <c r="D67" s="48"/>
      <c r="E67" s="48"/>
      <c r="F67" s="48"/>
      <c r="G67" s="48"/>
      <c r="H67" s="48"/>
      <c r="I67" s="48"/>
      <c r="J67" s="90"/>
      <c r="K67" s="61"/>
      <c r="L67" s="61"/>
      <c r="M67" s="7"/>
      <c r="N67" s="7"/>
      <c r="O67" s="7"/>
    </row>
    <row r="68" spans="1:15" ht="66.75" customHeight="1" x14ac:dyDescent="0.3">
      <c r="A68" s="62" t="s">
        <v>51</v>
      </c>
      <c r="B68" s="63" t="s">
        <v>260</v>
      </c>
      <c r="C68" s="64"/>
      <c r="D68" s="57" t="s">
        <v>476</v>
      </c>
      <c r="E68" s="68">
        <v>224</v>
      </c>
      <c r="F68" s="65">
        <f>ROUND(E68*(1-$F$9),9)</f>
        <v>201.6</v>
      </c>
      <c r="G68" s="38">
        <v>0</v>
      </c>
      <c r="H68" s="39">
        <f>F68*G68</f>
        <v>0</v>
      </c>
      <c r="I68" s="22"/>
      <c r="J68" s="18"/>
      <c r="K68" s="61"/>
      <c r="L68" s="61"/>
      <c r="M68" s="7"/>
      <c r="N68" s="7"/>
      <c r="O68" s="7"/>
    </row>
    <row r="69" spans="1:15" ht="78" customHeight="1" x14ac:dyDescent="0.3">
      <c r="A69" s="8" t="s">
        <v>52</v>
      </c>
      <c r="B69" s="3" t="s">
        <v>261</v>
      </c>
      <c r="C69" s="1"/>
      <c r="D69" s="57" t="s">
        <v>474</v>
      </c>
      <c r="E69" s="68">
        <v>758</v>
      </c>
      <c r="F69" s="13">
        <f>ROUND(E69*(1-$F$9),9)</f>
        <v>682.2</v>
      </c>
      <c r="G69" s="38">
        <v>0</v>
      </c>
      <c r="H69" s="39">
        <f>F69*G69</f>
        <v>0</v>
      </c>
      <c r="I69" s="22">
        <f>24*G69</f>
        <v>0</v>
      </c>
      <c r="J69" s="18">
        <f>0.061*G69</f>
        <v>0</v>
      </c>
      <c r="K69" s="61"/>
      <c r="L69" s="61"/>
      <c r="M69" s="7"/>
      <c r="N69" s="7"/>
      <c r="O69" s="7"/>
    </row>
    <row r="70" spans="1:15" ht="72" customHeight="1" x14ac:dyDescent="0.3">
      <c r="A70" s="8" t="s">
        <v>53</v>
      </c>
      <c r="B70" s="3" t="s">
        <v>262</v>
      </c>
      <c r="C70" s="1"/>
      <c r="D70" s="57" t="s">
        <v>474</v>
      </c>
      <c r="E70" s="68">
        <v>758</v>
      </c>
      <c r="F70" s="13">
        <f>ROUND(E70*(1-$F$9),9)</f>
        <v>682.2</v>
      </c>
      <c r="G70" s="38">
        <v>0</v>
      </c>
      <c r="H70" s="39">
        <f>F70*G70</f>
        <v>0</v>
      </c>
      <c r="I70" s="22">
        <f>24*G70</f>
        <v>0</v>
      </c>
      <c r="J70" s="18">
        <f>0.061*G70</f>
        <v>0</v>
      </c>
      <c r="K70" s="61"/>
      <c r="L70" s="61"/>
      <c r="M70" s="7"/>
      <c r="N70" s="7"/>
      <c r="O70" s="7"/>
    </row>
    <row r="71" spans="1:15" ht="63.75" customHeight="1" x14ac:dyDescent="0.3">
      <c r="A71" s="8" t="s">
        <v>54</v>
      </c>
      <c r="B71" s="3" t="s">
        <v>263</v>
      </c>
      <c r="C71" s="1"/>
      <c r="D71" s="57" t="s">
        <v>453</v>
      </c>
      <c r="E71" s="68">
        <v>437</v>
      </c>
      <c r="F71" s="13">
        <f>ROUND(E71*(1-$F$9),9)</f>
        <v>393.3</v>
      </c>
      <c r="G71" s="38">
        <v>0</v>
      </c>
      <c r="H71" s="39">
        <f>F71*G71</f>
        <v>0</v>
      </c>
      <c r="I71" s="22">
        <f>23*G71</f>
        <v>0</v>
      </c>
      <c r="J71" s="18">
        <f>0.035*G71</f>
        <v>0</v>
      </c>
      <c r="K71" s="61"/>
      <c r="L71" s="61"/>
      <c r="M71" s="7"/>
      <c r="N71" s="7"/>
      <c r="O71" s="7"/>
    </row>
    <row r="72" spans="1:15" ht="72.75" customHeight="1" x14ac:dyDescent="0.3">
      <c r="A72" s="8" t="s">
        <v>55</v>
      </c>
      <c r="B72" s="3" t="s">
        <v>264</v>
      </c>
      <c r="C72" s="1"/>
      <c r="D72" s="57" t="s">
        <v>466</v>
      </c>
      <c r="E72" s="68">
        <v>605</v>
      </c>
      <c r="F72" s="13">
        <f>ROUND(E72*(1-$F$9),9)</f>
        <v>544.5</v>
      </c>
      <c r="G72" s="38">
        <v>0</v>
      </c>
      <c r="H72" s="39">
        <f>F72*G72</f>
        <v>0</v>
      </c>
      <c r="I72" s="22">
        <f>22*G72</f>
        <v>0</v>
      </c>
      <c r="J72" s="18">
        <f>0.046*G72</f>
        <v>0</v>
      </c>
      <c r="K72" s="61"/>
      <c r="L72" s="61"/>
      <c r="M72" s="7"/>
      <c r="N72" s="7"/>
      <c r="O72" s="7"/>
    </row>
    <row r="73" spans="1:15" ht="72.75" customHeight="1" x14ac:dyDescent="0.3">
      <c r="A73" s="8" t="s">
        <v>56</v>
      </c>
      <c r="B73" s="3" t="s">
        <v>265</v>
      </c>
      <c r="C73" s="1"/>
      <c r="D73" s="57" t="s">
        <v>466</v>
      </c>
      <c r="E73" s="68">
        <v>404</v>
      </c>
      <c r="F73" s="13">
        <f>ROUND(E73*(1-$F$9),9)</f>
        <v>363.6</v>
      </c>
      <c r="G73" s="38">
        <v>0</v>
      </c>
      <c r="H73" s="39">
        <f>F73*G73</f>
        <v>0</v>
      </c>
      <c r="I73" s="22">
        <f>18*G73</f>
        <v>0</v>
      </c>
      <c r="J73" s="18">
        <f>0.036*G73</f>
        <v>0</v>
      </c>
      <c r="K73" s="61"/>
      <c r="L73" s="61"/>
      <c r="M73" s="7"/>
      <c r="N73" s="7"/>
      <c r="O73" s="7"/>
    </row>
    <row r="74" spans="1:15" ht="66.75" customHeight="1" x14ac:dyDescent="0.3">
      <c r="A74" s="8" t="s">
        <v>57</v>
      </c>
      <c r="B74" s="3" t="s">
        <v>266</v>
      </c>
      <c r="C74" s="1"/>
      <c r="D74" s="57" t="s">
        <v>466</v>
      </c>
      <c r="E74" s="68">
        <v>296</v>
      </c>
      <c r="F74" s="13">
        <f>ROUND(E74*(1-$F$9),9)</f>
        <v>266.39999999999998</v>
      </c>
      <c r="G74" s="38">
        <v>0</v>
      </c>
      <c r="H74" s="39">
        <f>F74*G74</f>
        <v>0</v>
      </c>
      <c r="I74" s="22">
        <f>20*G74</f>
        <v>0</v>
      </c>
      <c r="J74" s="18">
        <f>0.039*G74</f>
        <v>0</v>
      </c>
      <c r="K74" s="61"/>
      <c r="L74" s="61"/>
      <c r="M74" s="7"/>
      <c r="N74" s="7"/>
      <c r="O74" s="7"/>
    </row>
    <row r="75" spans="1:15" ht="66" customHeight="1" x14ac:dyDescent="0.3">
      <c r="A75" s="8" t="s">
        <v>58</v>
      </c>
      <c r="B75" s="3" t="s">
        <v>267</v>
      </c>
      <c r="C75" s="1"/>
      <c r="D75" s="57" t="s">
        <v>466</v>
      </c>
      <c r="E75" s="68">
        <v>202</v>
      </c>
      <c r="F75" s="13">
        <f>ROUND(E75*(1-$F$9),9)</f>
        <v>181.8</v>
      </c>
      <c r="G75" s="38">
        <v>0</v>
      </c>
      <c r="H75" s="39">
        <f>F75*G75</f>
        <v>0</v>
      </c>
      <c r="I75" s="22">
        <f>22*G75</f>
        <v>0</v>
      </c>
      <c r="J75" s="18">
        <f>0.047*G75</f>
        <v>0</v>
      </c>
      <c r="K75" s="61"/>
      <c r="L75" s="61"/>
      <c r="M75" s="7"/>
      <c r="N75" s="7"/>
      <c r="O75" s="7"/>
    </row>
    <row r="76" spans="1:15" ht="72.75" customHeight="1" x14ac:dyDescent="0.3">
      <c r="A76" s="8" t="s">
        <v>59</v>
      </c>
      <c r="B76" s="3" t="s">
        <v>268</v>
      </c>
      <c r="C76" s="1"/>
      <c r="D76" s="57" t="s">
        <v>474</v>
      </c>
      <c r="E76" s="68">
        <v>529</v>
      </c>
      <c r="F76" s="13">
        <f>ROUND(E76*(1-$F$9),9)</f>
        <v>476.1</v>
      </c>
      <c r="G76" s="38">
        <v>0</v>
      </c>
      <c r="H76" s="39">
        <f>F76*G76</f>
        <v>0</v>
      </c>
      <c r="I76" s="22">
        <f>25*G76</f>
        <v>0</v>
      </c>
      <c r="J76" s="18">
        <f>0.09*G76</f>
        <v>0</v>
      </c>
      <c r="K76" s="61"/>
      <c r="L76" s="61"/>
      <c r="M76" s="7"/>
      <c r="N76" s="7"/>
      <c r="O76" s="7"/>
    </row>
    <row r="77" spans="1:15" ht="66" customHeight="1" x14ac:dyDescent="0.3">
      <c r="A77" s="8" t="s">
        <v>60</v>
      </c>
      <c r="B77" s="3" t="s">
        <v>269</v>
      </c>
      <c r="C77" s="1"/>
      <c r="D77" s="57" t="s">
        <v>474</v>
      </c>
      <c r="E77" s="68">
        <v>529</v>
      </c>
      <c r="F77" s="13">
        <f>ROUND(E77*(1-$F$9),9)</f>
        <v>476.1</v>
      </c>
      <c r="G77" s="38">
        <v>0</v>
      </c>
      <c r="H77" s="39">
        <f>F77*G77</f>
        <v>0</v>
      </c>
      <c r="I77" s="22">
        <f>25*G77</f>
        <v>0</v>
      </c>
      <c r="J77" s="18">
        <f>0.09*G77</f>
        <v>0</v>
      </c>
      <c r="K77" s="61"/>
      <c r="L77" s="61"/>
      <c r="M77" s="7"/>
      <c r="N77" s="7"/>
      <c r="O77" s="7"/>
    </row>
    <row r="78" spans="1:15" ht="61.5" customHeight="1" x14ac:dyDescent="0.3">
      <c r="A78" s="8" t="s">
        <v>61</v>
      </c>
      <c r="B78" s="3" t="s">
        <v>270</v>
      </c>
      <c r="C78" s="1"/>
      <c r="D78" s="57" t="s">
        <v>474</v>
      </c>
      <c r="E78" s="68">
        <v>758</v>
      </c>
      <c r="F78" s="13">
        <f>ROUND(E78*(1-$F$9),9)</f>
        <v>682.2</v>
      </c>
      <c r="G78" s="38">
        <v>0</v>
      </c>
      <c r="H78" s="39">
        <f>F78*G78</f>
        <v>0</v>
      </c>
      <c r="I78" s="22">
        <f>24*G78</f>
        <v>0</v>
      </c>
      <c r="J78" s="18">
        <f>0.061*G78</f>
        <v>0</v>
      </c>
      <c r="K78" s="61"/>
      <c r="L78" s="61"/>
      <c r="M78" s="7"/>
      <c r="N78" s="7"/>
      <c r="O78" s="7"/>
    </row>
    <row r="79" spans="1:15" ht="58.5" customHeight="1" x14ac:dyDescent="0.3">
      <c r="A79" s="8" t="s">
        <v>62</v>
      </c>
      <c r="B79" s="3" t="s">
        <v>271</v>
      </c>
      <c r="C79" s="1"/>
      <c r="D79" s="57" t="s">
        <v>454</v>
      </c>
      <c r="E79" s="68">
        <v>577</v>
      </c>
      <c r="F79" s="13">
        <f>ROUND(E79*(1-$F$9),9)</f>
        <v>519.29999999999995</v>
      </c>
      <c r="G79" s="38"/>
      <c r="H79" s="39">
        <f>F79*G79</f>
        <v>0</v>
      </c>
      <c r="I79" s="22">
        <f>14*G79</f>
        <v>0</v>
      </c>
      <c r="J79" s="18">
        <f>0.04*G79</f>
        <v>0</v>
      </c>
      <c r="K79" s="61"/>
      <c r="L79" s="61"/>
      <c r="M79" s="7"/>
      <c r="N79" s="7"/>
      <c r="O79" s="7"/>
    </row>
    <row r="80" spans="1:15" ht="64.5" customHeight="1" x14ac:dyDescent="0.3">
      <c r="A80" s="8" t="s">
        <v>63</v>
      </c>
      <c r="B80" s="3" t="s">
        <v>272</v>
      </c>
      <c r="C80" s="1"/>
      <c r="D80" s="57" t="s">
        <v>454</v>
      </c>
      <c r="E80" s="68">
        <v>577</v>
      </c>
      <c r="F80" s="13">
        <f>ROUND(E80*(1-$F$9),9)</f>
        <v>519.29999999999995</v>
      </c>
      <c r="G80" s="38">
        <v>0</v>
      </c>
      <c r="H80" s="39">
        <f>F80*G80</f>
        <v>0</v>
      </c>
      <c r="I80" s="22">
        <f>14*G80</f>
        <v>0</v>
      </c>
      <c r="J80" s="18">
        <f>0.04*G80</f>
        <v>0</v>
      </c>
      <c r="K80" s="61"/>
      <c r="L80" s="61"/>
      <c r="M80" s="7"/>
      <c r="N80" s="7"/>
      <c r="O80" s="7"/>
    </row>
    <row r="81" spans="1:15" ht="78" customHeight="1" x14ac:dyDescent="0.3">
      <c r="A81" s="8" t="s">
        <v>64</v>
      </c>
      <c r="B81" s="3" t="s">
        <v>273</v>
      </c>
      <c r="C81" s="1"/>
      <c r="D81" s="57" t="s">
        <v>474</v>
      </c>
      <c r="E81" s="68">
        <v>758</v>
      </c>
      <c r="F81" s="13">
        <f>ROUND(E81*(1-$F$9),9)</f>
        <v>682.2</v>
      </c>
      <c r="G81" s="38">
        <v>0</v>
      </c>
      <c r="H81" s="39">
        <f>F81*G81</f>
        <v>0</v>
      </c>
      <c r="I81" s="22">
        <f>24*G81</f>
        <v>0</v>
      </c>
      <c r="J81" s="18">
        <f>0.061*G81</f>
        <v>0</v>
      </c>
      <c r="K81" s="61"/>
      <c r="L81" s="61"/>
      <c r="M81" s="7"/>
      <c r="N81" s="7"/>
      <c r="O81" s="7"/>
    </row>
    <row r="82" spans="1:15" ht="74.25" customHeight="1" x14ac:dyDescent="0.3">
      <c r="A82" s="8" t="s">
        <v>65</v>
      </c>
      <c r="B82" s="3" t="s">
        <v>274</v>
      </c>
      <c r="C82" s="1"/>
      <c r="D82" s="57" t="s">
        <v>474</v>
      </c>
      <c r="E82" s="68">
        <v>758</v>
      </c>
      <c r="F82" s="13">
        <f>ROUND(E82*(1-$F$9),9)</f>
        <v>682.2</v>
      </c>
      <c r="G82" s="38">
        <v>0</v>
      </c>
      <c r="H82" s="39">
        <f>F82*G82</f>
        <v>0</v>
      </c>
      <c r="I82" s="22">
        <f>24*G82</f>
        <v>0</v>
      </c>
      <c r="J82" s="18">
        <f>0.061*G82</f>
        <v>0</v>
      </c>
      <c r="K82" s="61"/>
      <c r="L82" s="61"/>
      <c r="M82" s="7"/>
      <c r="N82" s="7"/>
      <c r="O82" s="7"/>
    </row>
    <row r="83" spans="1:15" ht="74.25" customHeight="1" x14ac:dyDescent="0.3">
      <c r="A83" s="8" t="s">
        <v>66</v>
      </c>
      <c r="B83" s="3" t="s">
        <v>275</v>
      </c>
      <c r="C83" s="1"/>
      <c r="D83" s="57" t="s">
        <v>474</v>
      </c>
      <c r="E83" s="68">
        <v>758</v>
      </c>
      <c r="F83" s="13">
        <f>ROUND(E83*(1-$F$9),9)</f>
        <v>682.2</v>
      </c>
      <c r="G83" s="38">
        <v>0</v>
      </c>
      <c r="H83" s="39">
        <f>F83*G83</f>
        <v>0</v>
      </c>
      <c r="I83" s="22">
        <f>24*G83</f>
        <v>0</v>
      </c>
      <c r="J83" s="18">
        <f>0.061*G83</f>
        <v>0</v>
      </c>
      <c r="K83" s="61"/>
      <c r="L83" s="61"/>
      <c r="M83" s="7"/>
      <c r="N83" s="7"/>
      <c r="O83" s="7"/>
    </row>
    <row r="84" spans="1:15" ht="69" customHeight="1" x14ac:dyDescent="0.3">
      <c r="A84" s="8" t="s">
        <v>67</v>
      </c>
      <c r="B84" s="3" t="s">
        <v>276</v>
      </c>
      <c r="C84" s="1"/>
      <c r="D84" s="57" t="s">
        <v>474</v>
      </c>
      <c r="E84" s="68">
        <v>758</v>
      </c>
      <c r="F84" s="13">
        <f>ROUND(E84*(1-$F$9),9)</f>
        <v>682.2</v>
      </c>
      <c r="G84" s="38">
        <v>0</v>
      </c>
      <c r="H84" s="39">
        <f>F84*G84</f>
        <v>0</v>
      </c>
      <c r="I84" s="22">
        <f>24*G84</f>
        <v>0</v>
      </c>
      <c r="J84" s="18">
        <f>0.061*G84</f>
        <v>0</v>
      </c>
      <c r="K84" s="61"/>
      <c r="L84" s="61"/>
      <c r="M84" s="7"/>
      <c r="N84" s="7"/>
      <c r="O84" s="7"/>
    </row>
    <row r="85" spans="1:15" ht="68.25" customHeight="1" x14ac:dyDescent="0.3">
      <c r="A85" s="8" t="s">
        <v>68</v>
      </c>
      <c r="B85" s="3" t="s">
        <v>277</v>
      </c>
      <c r="C85" s="1"/>
      <c r="D85" s="57" t="s">
        <v>474</v>
      </c>
      <c r="E85" s="68">
        <v>758</v>
      </c>
      <c r="F85" s="13">
        <f>ROUND(E85*(1-$F$9),9)</f>
        <v>682.2</v>
      </c>
      <c r="G85" s="38">
        <v>0</v>
      </c>
      <c r="H85" s="39">
        <f>F85*G85</f>
        <v>0</v>
      </c>
      <c r="I85" s="22">
        <f>24*G85</f>
        <v>0</v>
      </c>
      <c r="J85" s="18">
        <f>0.061*G85</f>
        <v>0</v>
      </c>
      <c r="K85" s="61"/>
      <c r="L85" s="61"/>
      <c r="M85" s="7"/>
      <c r="N85" s="7"/>
      <c r="O85" s="7"/>
    </row>
    <row r="86" spans="1:15" ht="69" customHeight="1" x14ac:dyDescent="0.3">
      <c r="A86" s="8" t="s">
        <v>69</v>
      </c>
      <c r="B86" s="3" t="s">
        <v>278</v>
      </c>
      <c r="C86" s="1"/>
      <c r="D86" s="57" t="s">
        <v>476</v>
      </c>
      <c r="E86" s="68">
        <v>1120</v>
      </c>
      <c r="F86" s="13">
        <f>ROUND(E86*(1-$F$9),9)</f>
        <v>1008</v>
      </c>
      <c r="G86" s="38">
        <v>0</v>
      </c>
      <c r="H86" s="39">
        <f>F86*G86</f>
        <v>0</v>
      </c>
      <c r="I86" s="22">
        <f>33*G86</f>
        <v>0</v>
      </c>
      <c r="J86" s="18">
        <f>0.048*G86</f>
        <v>0</v>
      </c>
      <c r="K86" s="61"/>
      <c r="L86" s="61"/>
      <c r="M86" s="7"/>
      <c r="N86" s="7"/>
      <c r="O86" s="7"/>
    </row>
    <row r="87" spans="1:15" ht="70.5" customHeight="1" x14ac:dyDescent="0.3">
      <c r="A87" s="8" t="s">
        <v>70</v>
      </c>
      <c r="B87" s="3" t="s">
        <v>279</v>
      </c>
      <c r="C87" s="1"/>
      <c r="D87" s="57" t="s">
        <v>474</v>
      </c>
      <c r="E87" s="68">
        <v>758</v>
      </c>
      <c r="F87" s="13">
        <f>ROUND(E87*(1-$F$9),9)</f>
        <v>682.2</v>
      </c>
      <c r="G87" s="38">
        <v>0</v>
      </c>
      <c r="H87" s="39">
        <f>F87*G87</f>
        <v>0</v>
      </c>
      <c r="I87" s="22">
        <f>24*G87</f>
        <v>0</v>
      </c>
      <c r="J87" s="18">
        <f>0.061*G87</f>
        <v>0</v>
      </c>
      <c r="K87" s="61"/>
      <c r="L87" s="61"/>
      <c r="M87" s="7"/>
      <c r="N87" s="7"/>
      <c r="O87" s="7"/>
    </row>
    <row r="88" spans="1:15" ht="66" customHeight="1" x14ac:dyDescent="0.3">
      <c r="A88" s="8" t="s">
        <v>71</v>
      </c>
      <c r="B88" s="3" t="s">
        <v>280</v>
      </c>
      <c r="C88" s="1"/>
      <c r="D88" s="57" t="s">
        <v>476</v>
      </c>
      <c r="E88" s="68">
        <v>623</v>
      </c>
      <c r="F88" s="13">
        <f>ROUND(E88*(1-$F$9),9)</f>
        <v>560.70000000000005</v>
      </c>
      <c r="G88" s="38">
        <v>0</v>
      </c>
      <c r="H88" s="39">
        <f>F88*G88</f>
        <v>0</v>
      </c>
      <c r="I88" s="22">
        <f t="shared" ref="I88:I95" si="0">27*G88</f>
        <v>0</v>
      </c>
      <c r="J88" s="18">
        <f t="shared" ref="J88:J95" si="1">0.059*G88</f>
        <v>0</v>
      </c>
      <c r="K88" s="61"/>
      <c r="L88" s="61"/>
      <c r="M88" s="7"/>
      <c r="N88" s="7"/>
      <c r="O88" s="7"/>
    </row>
    <row r="89" spans="1:15" ht="67.5" customHeight="1" x14ac:dyDescent="0.3">
      <c r="A89" s="8" t="s">
        <v>72</v>
      </c>
      <c r="B89" s="3" t="s">
        <v>281</v>
      </c>
      <c r="C89" s="1"/>
      <c r="D89" s="57" t="s">
        <v>476</v>
      </c>
      <c r="E89" s="68">
        <v>623</v>
      </c>
      <c r="F89" s="13">
        <f>ROUND(E89*(1-$F$9),9)</f>
        <v>560.70000000000005</v>
      </c>
      <c r="G89" s="38">
        <v>0</v>
      </c>
      <c r="H89" s="39">
        <f>F89*G89</f>
        <v>0</v>
      </c>
      <c r="I89" s="22">
        <f t="shared" si="0"/>
        <v>0</v>
      </c>
      <c r="J89" s="18">
        <f t="shared" si="1"/>
        <v>0</v>
      </c>
      <c r="K89" s="61"/>
      <c r="L89" s="61"/>
      <c r="M89" s="7"/>
      <c r="N89" s="7"/>
      <c r="O89" s="7"/>
    </row>
    <row r="90" spans="1:15" ht="64.5" customHeight="1" x14ac:dyDescent="0.3">
      <c r="A90" s="8" t="s">
        <v>73</v>
      </c>
      <c r="B90" s="3" t="s">
        <v>282</v>
      </c>
      <c r="C90" s="1"/>
      <c r="D90" s="57" t="s">
        <v>476</v>
      </c>
      <c r="E90" s="68">
        <v>623</v>
      </c>
      <c r="F90" s="13">
        <f>ROUND(E90*(1-$F$9),9)</f>
        <v>560.70000000000005</v>
      </c>
      <c r="G90" s="38">
        <v>0</v>
      </c>
      <c r="H90" s="39">
        <f>F90*G90</f>
        <v>0</v>
      </c>
      <c r="I90" s="22">
        <f t="shared" si="0"/>
        <v>0</v>
      </c>
      <c r="J90" s="18">
        <f t="shared" si="1"/>
        <v>0</v>
      </c>
      <c r="K90" s="61"/>
      <c r="L90" s="61"/>
      <c r="M90" s="7"/>
      <c r="N90" s="7"/>
      <c r="O90" s="7"/>
    </row>
    <row r="91" spans="1:15" ht="64.5" customHeight="1" x14ac:dyDescent="0.3">
      <c r="A91" s="8" t="s">
        <v>74</v>
      </c>
      <c r="B91" s="3" t="s">
        <v>283</v>
      </c>
      <c r="C91" s="1"/>
      <c r="D91" s="57" t="s">
        <v>476</v>
      </c>
      <c r="E91" s="68">
        <v>623</v>
      </c>
      <c r="F91" s="13">
        <f>ROUND(E91*(1-$F$9),9)</f>
        <v>560.70000000000005</v>
      </c>
      <c r="G91" s="38">
        <v>0</v>
      </c>
      <c r="H91" s="39">
        <f>F91*G91</f>
        <v>0</v>
      </c>
      <c r="I91" s="22">
        <f t="shared" si="0"/>
        <v>0</v>
      </c>
      <c r="J91" s="18">
        <f t="shared" si="1"/>
        <v>0</v>
      </c>
      <c r="K91" s="61"/>
      <c r="L91" s="61"/>
      <c r="M91" s="7"/>
      <c r="N91" s="7"/>
      <c r="O91" s="7"/>
    </row>
    <row r="92" spans="1:15" ht="65.25" customHeight="1" x14ac:dyDescent="0.3">
      <c r="A92" s="8" t="s">
        <v>75</v>
      </c>
      <c r="B92" s="3" t="s">
        <v>284</v>
      </c>
      <c r="C92" s="1"/>
      <c r="D92" s="57" t="s">
        <v>476</v>
      </c>
      <c r="E92" s="68">
        <v>623</v>
      </c>
      <c r="F92" s="13">
        <f>ROUND(E92*(1-$F$9),9)</f>
        <v>560.70000000000005</v>
      </c>
      <c r="G92" s="38">
        <v>0</v>
      </c>
      <c r="H92" s="39">
        <f>F92*G92</f>
        <v>0</v>
      </c>
      <c r="I92" s="22">
        <f t="shared" si="0"/>
        <v>0</v>
      </c>
      <c r="J92" s="18">
        <f t="shared" si="1"/>
        <v>0</v>
      </c>
      <c r="K92" s="61"/>
      <c r="L92" s="61"/>
      <c r="M92" s="7"/>
      <c r="N92" s="7"/>
      <c r="O92" s="7"/>
    </row>
    <row r="93" spans="1:15" ht="63.75" customHeight="1" x14ac:dyDescent="0.3">
      <c r="A93" s="8" t="s">
        <v>76</v>
      </c>
      <c r="B93" s="3" t="s">
        <v>285</v>
      </c>
      <c r="C93" s="1"/>
      <c r="D93" s="57" t="s">
        <v>476</v>
      </c>
      <c r="E93" s="68">
        <v>623</v>
      </c>
      <c r="F93" s="13">
        <f>ROUND(E93*(1-$F$9),9)</f>
        <v>560.70000000000005</v>
      </c>
      <c r="G93" s="38">
        <v>0</v>
      </c>
      <c r="H93" s="39">
        <f>F93*G93</f>
        <v>0</v>
      </c>
      <c r="I93" s="22">
        <f t="shared" si="0"/>
        <v>0</v>
      </c>
      <c r="J93" s="18">
        <f t="shared" si="1"/>
        <v>0</v>
      </c>
      <c r="K93" s="61"/>
      <c r="L93" s="61"/>
      <c r="M93" s="7"/>
      <c r="N93" s="7"/>
      <c r="O93" s="7"/>
    </row>
    <row r="94" spans="1:15" ht="72" customHeight="1" x14ac:dyDescent="0.3">
      <c r="A94" s="8" t="s">
        <v>77</v>
      </c>
      <c r="B94" s="3" t="s">
        <v>286</v>
      </c>
      <c r="C94" s="1"/>
      <c r="D94" s="57" t="s">
        <v>476</v>
      </c>
      <c r="E94" s="68">
        <v>623</v>
      </c>
      <c r="F94" s="13">
        <f>ROUND(E94*(1-$F$9),9)</f>
        <v>560.70000000000005</v>
      </c>
      <c r="G94" s="38">
        <v>0</v>
      </c>
      <c r="H94" s="39">
        <f>F94*G94</f>
        <v>0</v>
      </c>
      <c r="I94" s="22">
        <f t="shared" si="0"/>
        <v>0</v>
      </c>
      <c r="J94" s="18">
        <f t="shared" si="1"/>
        <v>0</v>
      </c>
      <c r="K94" s="61"/>
      <c r="L94" s="61"/>
      <c r="M94" s="7"/>
      <c r="N94" s="7"/>
      <c r="O94" s="7"/>
    </row>
    <row r="95" spans="1:15" ht="66.75" customHeight="1" x14ac:dyDescent="0.3">
      <c r="A95" s="8" t="s">
        <v>78</v>
      </c>
      <c r="B95" s="3" t="s">
        <v>287</v>
      </c>
      <c r="C95" s="1"/>
      <c r="D95" s="57" t="s">
        <v>476</v>
      </c>
      <c r="E95" s="68">
        <v>623</v>
      </c>
      <c r="F95" s="13">
        <f>ROUND(E95*(1-$F$9),9)</f>
        <v>560.70000000000005</v>
      </c>
      <c r="G95" s="38">
        <v>0</v>
      </c>
      <c r="H95" s="39">
        <f>F95*G95</f>
        <v>0</v>
      </c>
      <c r="I95" s="22">
        <f t="shared" si="0"/>
        <v>0</v>
      </c>
      <c r="J95" s="18">
        <f t="shared" si="1"/>
        <v>0</v>
      </c>
      <c r="K95" s="61"/>
      <c r="L95" s="61"/>
      <c r="M95" s="7"/>
      <c r="N95" s="7"/>
      <c r="O95" s="7"/>
    </row>
    <row r="96" spans="1:15" ht="75" customHeight="1" x14ac:dyDescent="0.3">
      <c r="A96" s="8" t="s">
        <v>79</v>
      </c>
      <c r="B96" s="3" t="s">
        <v>288</v>
      </c>
      <c r="C96" s="1"/>
      <c r="D96" s="57" t="s">
        <v>474</v>
      </c>
      <c r="E96" s="68">
        <v>758</v>
      </c>
      <c r="F96" s="13">
        <f>ROUND(E96*(1-$F$9),9)</f>
        <v>682.2</v>
      </c>
      <c r="G96" s="38">
        <v>0</v>
      </c>
      <c r="H96" s="39">
        <f>F96*G96</f>
        <v>0</v>
      </c>
      <c r="I96" s="22">
        <f>24*G96</f>
        <v>0</v>
      </c>
      <c r="J96" s="18">
        <f>0.061*G96</f>
        <v>0</v>
      </c>
      <c r="K96" s="61"/>
      <c r="L96" s="61"/>
      <c r="M96" s="7"/>
      <c r="N96" s="7"/>
      <c r="O96" s="7"/>
    </row>
    <row r="97" spans="1:15" ht="75.75" customHeight="1" x14ac:dyDescent="0.3">
      <c r="A97" s="8" t="s">
        <v>80</v>
      </c>
      <c r="B97" s="3" t="s">
        <v>289</v>
      </c>
      <c r="C97" s="1"/>
      <c r="D97" s="57" t="s">
        <v>476</v>
      </c>
      <c r="E97" s="68">
        <v>762</v>
      </c>
      <c r="F97" s="13">
        <f>ROUND(E97*(1-$F$9),9)</f>
        <v>685.8</v>
      </c>
      <c r="G97" s="38">
        <v>0</v>
      </c>
      <c r="H97" s="39">
        <f>F97*G97</f>
        <v>0</v>
      </c>
      <c r="I97" s="22">
        <f>18*G97</f>
        <v>0</v>
      </c>
      <c r="J97" s="18">
        <f>0.051*G97</f>
        <v>0</v>
      </c>
      <c r="K97" s="61"/>
      <c r="L97" s="61"/>
      <c r="M97" s="7"/>
      <c r="N97" s="7"/>
      <c r="O97" s="7"/>
    </row>
    <row r="98" spans="1:15" ht="69.75" customHeight="1" x14ac:dyDescent="0.3">
      <c r="A98" s="8" t="s">
        <v>81</v>
      </c>
      <c r="B98" s="3" t="s">
        <v>290</v>
      </c>
      <c r="C98" s="1"/>
      <c r="D98" s="57" t="s">
        <v>476</v>
      </c>
      <c r="E98" s="68">
        <v>762</v>
      </c>
      <c r="F98" s="13">
        <f>ROUND(E98*(1-$F$9),9)</f>
        <v>685.8</v>
      </c>
      <c r="G98" s="38">
        <v>0</v>
      </c>
      <c r="H98" s="39">
        <f>F98*G98</f>
        <v>0</v>
      </c>
      <c r="I98" s="22">
        <f>18*G98</f>
        <v>0</v>
      </c>
      <c r="J98" s="18">
        <f>0.051*G98</f>
        <v>0</v>
      </c>
      <c r="K98" s="61"/>
      <c r="L98" s="61"/>
      <c r="M98" s="7"/>
      <c r="N98" s="7"/>
      <c r="O98" s="7"/>
    </row>
    <row r="99" spans="1:15" ht="69.75" customHeight="1" x14ac:dyDescent="0.3">
      <c r="A99" s="8" t="s">
        <v>82</v>
      </c>
      <c r="B99" s="3" t="s">
        <v>291</v>
      </c>
      <c r="C99" s="1"/>
      <c r="D99" s="57" t="s">
        <v>476</v>
      </c>
      <c r="E99" s="68">
        <v>787</v>
      </c>
      <c r="F99" s="13">
        <f>ROUND(E99*(1-$F$9),9)</f>
        <v>708.3</v>
      </c>
      <c r="G99" s="38">
        <v>0</v>
      </c>
      <c r="H99" s="39">
        <f>F99*G99</f>
        <v>0</v>
      </c>
      <c r="I99" s="22">
        <f>22*G99</f>
        <v>0</v>
      </c>
      <c r="J99" s="18">
        <f>0.051*G99</f>
        <v>0</v>
      </c>
      <c r="K99" s="61"/>
      <c r="L99" s="61"/>
      <c r="M99" s="7"/>
      <c r="N99" s="7"/>
      <c r="O99" s="7"/>
    </row>
    <row r="100" spans="1:15" ht="82.5" customHeight="1" x14ac:dyDescent="0.3">
      <c r="A100" s="8" t="s">
        <v>83</v>
      </c>
      <c r="B100" s="3" t="s">
        <v>292</v>
      </c>
      <c r="C100" s="1"/>
      <c r="D100" s="57" t="s">
        <v>476</v>
      </c>
      <c r="E100" s="68">
        <v>762</v>
      </c>
      <c r="F100" s="13">
        <f>ROUND(E100*(1-$F$9),9)</f>
        <v>685.8</v>
      </c>
      <c r="G100" s="38">
        <v>0</v>
      </c>
      <c r="H100" s="39">
        <f>F100*G100</f>
        <v>0</v>
      </c>
      <c r="I100" s="22">
        <f>18*G100</f>
        <v>0</v>
      </c>
      <c r="J100" s="18">
        <f>0.051*G100</f>
        <v>0</v>
      </c>
      <c r="K100" s="61"/>
      <c r="L100" s="61"/>
      <c r="M100" s="7"/>
      <c r="N100" s="7"/>
      <c r="O100" s="7"/>
    </row>
    <row r="101" spans="1:15" ht="70.5" customHeight="1" x14ac:dyDescent="0.3">
      <c r="A101" s="8" t="s">
        <v>84</v>
      </c>
      <c r="B101" s="3" t="s">
        <v>293</v>
      </c>
      <c r="C101" s="1"/>
      <c r="D101" s="57" t="s">
        <v>454</v>
      </c>
      <c r="E101" s="68">
        <v>577</v>
      </c>
      <c r="F101" s="13">
        <f>ROUND(E101*(1-$F$9),9)</f>
        <v>519.29999999999995</v>
      </c>
      <c r="G101" s="38">
        <v>0</v>
      </c>
      <c r="H101" s="39">
        <f>F101*G101</f>
        <v>0</v>
      </c>
      <c r="I101" s="22">
        <f>13*G101</f>
        <v>0</v>
      </c>
      <c r="J101" s="18">
        <f>0.038*G101</f>
        <v>0</v>
      </c>
      <c r="K101" s="61"/>
      <c r="L101" s="61"/>
      <c r="M101" s="7"/>
      <c r="N101" s="7"/>
      <c r="O101" s="7"/>
    </row>
    <row r="102" spans="1:15" ht="70.5" customHeight="1" x14ac:dyDescent="0.3">
      <c r="A102" s="8" t="s">
        <v>85</v>
      </c>
      <c r="B102" s="3" t="s">
        <v>294</v>
      </c>
      <c r="C102" s="1"/>
      <c r="D102" s="57" t="s">
        <v>476</v>
      </c>
      <c r="E102" s="68">
        <v>1163</v>
      </c>
      <c r="F102" s="13">
        <f>ROUND(E102*(1-$F$9),9)</f>
        <v>1046.7</v>
      </c>
      <c r="G102" s="38">
        <v>0</v>
      </c>
      <c r="H102" s="39">
        <f>F102*G102</f>
        <v>0</v>
      </c>
      <c r="I102" s="22">
        <f>33*G102</f>
        <v>0</v>
      </c>
      <c r="J102" s="18">
        <f>0.048*G102</f>
        <v>0</v>
      </c>
      <c r="K102" s="61"/>
      <c r="L102" s="61"/>
      <c r="M102" s="7"/>
      <c r="N102" s="7"/>
      <c r="O102" s="7"/>
    </row>
    <row r="103" spans="1:15" ht="69" customHeight="1" x14ac:dyDescent="0.3">
      <c r="A103" s="8" t="s">
        <v>86</v>
      </c>
      <c r="B103" s="3" t="s">
        <v>295</v>
      </c>
      <c r="C103" s="1"/>
      <c r="D103" s="57" t="s">
        <v>476</v>
      </c>
      <c r="E103" s="68">
        <v>979</v>
      </c>
      <c r="F103" s="13">
        <f>ROUND(E103*(1-$F$9),9)</f>
        <v>881.1</v>
      </c>
      <c r="G103" s="38">
        <v>0</v>
      </c>
      <c r="H103" s="39">
        <f>F103*G103</f>
        <v>0</v>
      </c>
      <c r="I103" s="22">
        <f>16*G103</f>
        <v>0</v>
      </c>
      <c r="J103" s="18">
        <f>0.048*G103</f>
        <v>0</v>
      </c>
      <c r="K103" s="61"/>
      <c r="L103" s="61"/>
      <c r="M103" s="7"/>
      <c r="N103" s="7"/>
      <c r="O103" s="7"/>
    </row>
    <row r="104" spans="1:15" ht="65.25" customHeight="1" x14ac:dyDescent="0.3">
      <c r="A104" s="8" t="s">
        <v>87</v>
      </c>
      <c r="B104" s="3" t="s">
        <v>296</v>
      </c>
      <c r="C104" s="1"/>
      <c r="D104" s="57" t="s">
        <v>476</v>
      </c>
      <c r="E104" s="68">
        <v>1163</v>
      </c>
      <c r="F104" s="13">
        <f>ROUND(E104*(1-$F$9),9)</f>
        <v>1046.7</v>
      </c>
      <c r="G104" s="38">
        <v>0</v>
      </c>
      <c r="H104" s="39">
        <f>F104*G104</f>
        <v>0</v>
      </c>
      <c r="I104" s="22">
        <f>33*G104</f>
        <v>0</v>
      </c>
      <c r="J104" s="18">
        <f>0.048*G104</f>
        <v>0</v>
      </c>
      <c r="K104" s="61"/>
      <c r="L104" s="61"/>
      <c r="M104" s="7"/>
      <c r="N104" s="7"/>
      <c r="O104" s="7"/>
    </row>
    <row r="105" spans="1:15" ht="62.25" customHeight="1" x14ac:dyDescent="0.3">
      <c r="A105" s="8" t="s">
        <v>88</v>
      </c>
      <c r="B105" s="3" t="s">
        <v>297</v>
      </c>
      <c r="C105" s="1"/>
      <c r="D105" s="57" t="s">
        <v>474</v>
      </c>
      <c r="E105" s="68">
        <v>758</v>
      </c>
      <c r="F105" s="13">
        <f>ROUND(E105*(1-$F$9),9)</f>
        <v>682.2</v>
      </c>
      <c r="G105" s="38">
        <v>0</v>
      </c>
      <c r="H105" s="39">
        <f>F105*G105</f>
        <v>0</v>
      </c>
      <c r="I105" s="22">
        <f>24*G105</f>
        <v>0</v>
      </c>
      <c r="J105" s="18">
        <f>0.061*G105</f>
        <v>0</v>
      </c>
      <c r="K105" s="61"/>
      <c r="L105" s="61"/>
      <c r="M105" s="7"/>
      <c r="N105" s="7"/>
      <c r="O105" s="7"/>
    </row>
    <row r="106" spans="1:15" ht="66" customHeight="1" x14ac:dyDescent="0.3">
      <c r="A106" s="8" t="s">
        <v>89</v>
      </c>
      <c r="B106" s="3" t="s">
        <v>298</v>
      </c>
      <c r="C106" s="1"/>
      <c r="D106" s="57" t="s">
        <v>474</v>
      </c>
      <c r="E106" s="68">
        <v>758</v>
      </c>
      <c r="F106" s="13">
        <f>ROUND(E106*(1-$F$9),9)</f>
        <v>682.2</v>
      </c>
      <c r="G106" s="38">
        <v>0</v>
      </c>
      <c r="H106" s="39">
        <f>F106*G106</f>
        <v>0</v>
      </c>
      <c r="I106" s="22">
        <f>24*G106</f>
        <v>0</v>
      </c>
      <c r="J106" s="18">
        <f>0.061*G106</f>
        <v>0</v>
      </c>
      <c r="K106" s="61"/>
      <c r="L106" s="61"/>
      <c r="M106" s="7"/>
      <c r="N106" s="7"/>
      <c r="O106" s="7"/>
    </row>
    <row r="107" spans="1:15" ht="43.5" customHeight="1" x14ac:dyDescent="0.3">
      <c r="A107" s="47" t="s">
        <v>440</v>
      </c>
      <c r="B107" s="48"/>
      <c r="C107" s="48"/>
      <c r="D107" s="48"/>
      <c r="E107" s="48"/>
      <c r="F107" s="48"/>
      <c r="G107" s="48"/>
      <c r="H107" s="48"/>
      <c r="I107" s="48"/>
      <c r="J107" s="90"/>
      <c r="K107" s="61"/>
      <c r="L107" s="61"/>
      <c r="M107" s="7"/>
      <c r="N107" s="7"/>
      <c r="O107" s="7"/>
    </row>
    <row r="108" spans="1:15" ht="75.75" customHeight="1" x14ac:dyDescent="0.3">
      <c r="A108" s="8" t="s">
        <v>90</v>
      </c>
      <c r="B108" s="3" t="s">
        <v>299</v>
      </c>
      <c r="C108" s="1"/>
      <c r="D108" s="57" t="s">
        <v>453</v>
      </c>
      <c r="E108" s="70">
        <v>661</v>
      </c>
      <c r="F108" s="13">
        <f>ROUND(E108*(1-$F$9),9)</f>
        <v>594.9</v>
      </c>
      <c r="G108" s="38">
        <v>0</v>
      </c>
      <c r="H108" s="39">
        <f>G108*F108</f>
        <v>0</v>
      </c>
      <c r="I108" s="22">
        <f>9*G108</f>
        <v>0</v>
      </c>
      <c r="J108" s="18">
        <f>0.068*G108</f>
        <v>0</v>
      </c>
      <c r="K108" s="61"/>
      <c r="L108" s="61"/>
      <c r="M108" s="7"/>
      <c r="N108" s="7"/>
      <c r="O108" s="7"/>
    </row>
    <row r="109" spans="1:15" ht="75" customHeight="1" x14ac:dyDescent="0.3">
      <c r="A109" s="8" t="s">
        <v>449</v>
      </c>
      <c r="B109" s="3" t="s">
        <v>300</v>
      </c>
      <c r="C109" s="1"/>
      <c r="D109" s="57" t="s">
        <v>466</v>
      </c>
      <c r="E109" s="70">
        <v>1344</v>
      </c>
      <c r="F109" s="13">
        <f>ROUND(E109*(1-$F$9),9)</f>
        <v>1209.5999999999999</v>
      </c>
      <c r="G109" s="38">
        <v>0</v>
      </c>
      <c r="H109" s="39">
        <f>G109*F109</f>
        <v>0</v>
      </c>
      <c r="I109" s="22">
        <f>6*G109</f>
        <v>0</v>
      </c>
      <c r="J109" s="18">
        <f>0.035*G109</f>
        <v>0</v>
      </c>
      <c r="K109" s="61"/>
      <c r="L109" s="61"/>
      <c r="M109" s="7"/>
      <c r="N109" s="7"/>
      <c r="O109" s="7"/>
    </row>
    <row r="110" spans="1:15" ht="67.5" customHeight="1" x14ac:dyDescent="0.3">
      <c r="A110" s="8" t="s">
        <v>91</v>
      </c>
      <c r="B110" s="3" t="s">
        <v>301</v>
      </c>
      <c r="C110" s="1"/>
      <c r="D110" s="57" t="s">
        <v>453</v>
      </c>
      <c r="E110" s="70">
        <v>728</v>
      </c>
      <c r="F110" s="13">
        <f>ROUND(E110*(1-$F$9),9)</f>
        <v>655.20000000000005</v>
      </c>
      <c r="G110" s="38">
        <v>0</v>
      </c>
      <c r="H110" s="39">
        <f>G110*F110</f>
        <v>0</v>
      </c>
      <c r="I110" s="22">
        <f>10*G110</f>
        <v>0</v>
      </c>
      <c r="J110" s="18">
        <f>0.078*G110</f>
        <v>0</v>
      </c>
      <c r="K110" s="61"/>
      <c r="L110" s="61"/>
      <c r="M110" s="7"/>
      <c r="N110" s="7"/>
      <c r="O110" s="7"/>
    </row>
    <row r="111" spans="1:15" ht="52.5" customHeight="1" x14ac:dyDescent="0.3">
      <c r="A111" s="41" t="s">
        <v>441</v>
      </c>
      <c r="B111" s="42"/>
      <c r="C111" s="42"/>
      <c r="D111" s="42"/>
      <c r="E111" s="42"/>
      <c r="F111" s="42"/>
      <c r="G111" s="16">
        <f>G110+G109+G108+G106+G105+G104+G103+G102+G101+G100+G99+G97+G96+G98+G95+G94+G93+G92+G91+G90+G89+G88+G87+G86+G85+G84+G83+G82+G81+G80+G79+G78+G77+G76+G75+G74+G73+G72+G71+G70+G69+G68</f>
        <v>0</v>
      </c>
      <c r="H111" s="15">
        <f>SUM(H68:H106)+H108+H109+H110</f>
        <v>0</v>
      </c>
      <c r="I111" s="23">
        <f>SUM(I68:I106)+SUM(I108+I110)</f>
        <v>0</v>
      </c>
      <c r="J111" s="24">
        <f>SUM(J68:J106)+SUM(J108+J110)</f>
        <v>0</v>
      </c>
      <c r="K111" s="61"/>
      <c r="L111" s="61"/>
      <c r="M111" s="7"/>
      <c r="N111" s="7"/>
      <c r="O111" s="7"/>
    </row>
    <row r="112" spans="1:15" ht="40.5" customHeight="1" x14ac:dyDescent="0.3">
      <c r="A112" s="47" t="s">
        <v>442</v>
      </c>
      <c r="B112" s="48"/>
      <c r="C112" s="48"/>
      <c r="D112" s="48"/>
      <c r="E112" s="48"/>
      <c r="F112" s="48"/>
      <c r="G112" s="48"/>
      <c r="H112" s="48"/>
      <c r="I112" s="48"/>
      <c r="J112" s="90"/>
      <c r="K112" s="61"/>
      <c r="L112" s="61"/>
      <c r="M112" s="7"/>
      <c r="N112" s="7"/>
      <c r="O112" s="7"/>
    </row>
    <row r="113" spans="1:15" ht="67.5" customHeight="1" x14ac:dyDescent="0.3">
      <c r="A113" s="8" t="s">
        <v>92</v>
      </c>
      <c r="B113" s="3" t="s">
        <v>302</v>
      </c>
      <c r="C113" s="1"/>
      <c r="D113" s="14">
        <v>4</v>
      </c>
      <c r="E113" s="68">
        <v>336</v>
      </c>
      <c r="F113" s="13">
        <f>ROUND(E113*(1-$F$9),9)</f>
        <v>302.39999999999998</v>
      </c>
      <c r="G113" s="38">
        <v>0</v>
      </c>
      <c r="H113" s="39">
        <f>F113*G113</f>
        <v>0</v>
      </c>
      <c r="I113" s="22">
        <f>10*G113</f>
        <v>0</v>
      </c>
      <c r="J113" s="18">
        <f>0.028*G113</f>
        <v>0</v>
      </c>
      <c r="K113" s="61"/>
      <c r="L113" s="61"/>
      <c r="M113" s="7"/>
      <c r="N113" s="7"/>
      <c r="O113" s="7"/>
    </row>
    <row r="114" spans="1:15" ht="71.25" customHeight="1" x14ac:dyDescent="0.3">
      <c r="A114" s="8" t="s">
        <v>93</v>
      </c>
      <c r="B114" s="3" t="s">
        <v>303</v>
      </c>
      <c r="C114" s="1"/>
      <c r="D114" s="14">
        <v>1</v>
      </c>
      <c r="E114" s="68">
        <v>320</v>
      </c>
      <c r="F114" s="13">
        <f>ROUND(E114*(1-$F$9),9)</f>
        <v>288</v>
      </c>
      <c r="G114" s="38">
        <v>0</v>
      </c>
      <c r="H114" s="39">
        <f>F114*G114</f>
        <v>0</v>
      </c>
      <c r="I114" s="22">
        <f>21*G114</f>
        <v>0</v>
      </c>
      <c r="J114" s="18">
        <f>0.054*G114</f>
        <v>0</v>
      </c>
      <c r="K114" s="61"/>
      <c r="L114" s="61"/>
      <c r="M114" s="7"/>
      <c r="N114" s="7"/>
      <c r="O114" s="7"/>
    </row>
    <row r="115" spans="1:15" ht="66.75" customHeight="1" x14ac:dyDescent="0.3">
      <c r="A115" s="8" t="s">
        <v>94</v>
      </c>
      <c r="B115" s="3" t="s">
        <v>304</v>
      </c>
      <c r="C115" s="1"/>
      <c r="D115" s="14">
        <v>2</v>
      </c>
      <c r="E115" s="68">
        <v>632</v>
      </c>
      <c r="F115" s="13">
        <f>ROUND(E115*(1-$F$9),9)</f>
        <v>568.79999999999995</v>
      </c>
      <c r="G115" s="38">
        <v>0</v>
      </c>
      <c r="H115" s="39">
        <f>F115*G115</f>
        <v>0</v>
      </c>
      <c r="I115" s="22">
        <f>20*G115</f>
        <v>0</v>
      </c>
      <c r="J115" s="18">
        <f>0.058*G115</f>
        <v>0</v>
      </c>
      <c r="K115" s="61"/>
      <c r="L115" s="61"/>
      <c r="M115" s="7"/>
      <c r="N115" s="7"/>
      <c r="O115" s="7"/>
    </row>
    <row r="116" spans="1:15" ht="81" customHeight="1" x14ac:dyDescent="0.3">
      <c r="A116" s="8" t="s">
        <v>95</v>
      </c>
      <c r="B116" s="3" t="s">
        <v>305</v>
      </c>
      <c r="C116" s="1"/>
      <c r="D116" s="14">
        <v>2</v>
      </c>
      <c r="E116" s="68">
        <v>632</v>
      </c>
      <c r="F116" s="13">
        <f>ROUND(E116*(1-$F$9),9)</f>
        <v>568.79999999999995</v>
      </c>
      <c r="G116" s="38">
        <v>0</v>
      </c>
      <c r="H116" s="39">
        <f>F116*G116</f>
        <v>0</v>
      </c>
      <c r="I116" s="22">
        <f>20*G116</f>
        <v>0</v>
      </c>
      <c r="J116" s="18">
        <f>0.058*G116</f>
        <v>0</v>
      </c>
      <c r="K116" s="61"/>
      <c r="L116" s="61"/>
      <c r="M116" s="7"/>
      <c r="N116" s="7"/>
      <c r="O116" s="7"/>
    </row>
    <row r="117" spans="1:15" ht="65.25" customHeight="1" x14ac:dyDescent="0.3">
      <c r="A117" s="62" t="s">
        <v>96</v>
      </c>
      <c r="B117" s="63" t="s">
        <v>306</v>
      </c>
      <c r="C117" s="64"/>
      <c r="D117" s="69">
        <v>1</v>
      </c>
      <c r="E117" s="68">
        <v>437</v>
      </c>
      <c r="F117" s="65">
        <f>ROUND(E117*(1-$F$9),9)</f>
        <v>393.3</v>
      </c>
      <c r="G117" s="38">
        <v>0</v>
      </c>
      <c r="H117" s="39">
        <f>F117*G117</f>
        <v>0</v>
      </c>
      <c r="I117" s="22"/>
      <c r="J117" s="18"/>
      <c r="K117" s="61"/>
      <c r="L117" s="61"/>
      <c r="M117" s="7"/>
      <c r="N117" s="7"/>
      <c r="O117" s="7"/>
    </row>
    <row r="118" spans="1:15" ht="70.5" customHeight="1" x14ac:dyDescent="0.3">
      <c r="A118" s="62" t="s">
        <v>97</v>
      </c>
      <c r="B118" s="63" t="s">
        <v>307</v>
      </c>
      <c r="C118" s="64"/>
      <c r="D118" s="69">
        <v>1</v>
      </c>
      <c r="E118" s="68">
        <v>437</v>
      </c>
      <c r="F118" s="65">
        <f>ROUND(E118*(1-$F$9),9)</f>
        <v>393.3</v>
      </c>
      <c r="G118" s="38">
        <v>0</v>
      </c>
      <c r="H118" s="39">
        <f>F118*G118</f>
        <v>0</v>
      </c>
      <c r="I118" s="22"/>
      <c r="J118" s="18"/>
      <c r="K118" s="61"/>
      <c r="L118" s="61"/>
      <c r="M118" s="7"/>
      <c r="N118" s="7"/>
      <c r="O118" s="7"/>
    </row>
    <row r="119" spans="1:15" ht="73.5" customHeight="1" x14ac:dyDescent="0.3">
      <c r="A119" s="8" t="s">
        <v>98</v>
      </c>
      <c r="B119" s="3" t="s">
        <v>308</v>
      </c>
      <c r="C119" s="1"/>
      <c r="D119" s="69">
        <v>1</v>
      </c>
      <c r="E119" s="68">
        <v>284</v>
      </c>
      <c r="F119" s="13">
        <f>ROUND(E119*(1-$F$9),9)</f>
        <v>255.6</v>
      </c>
      <c r="G119" s="38">
        <v>0</v>
      </c>
      <c r="H119" s="39">
        <f>F119*G119</f>
        <v>0</v>
      </c>
      <c r="I119" s="22">
        <f>20*G119</f>
        <v>0</v>
      </c>
      <c r="J119" s="18">
        <f>0.039*G119</f>
        <v>0</v>
      </c>
      <c r="K119" s="61"/>
      <c r="L119" s="61"/>
      <c r="M119" s="7"/>
      <c r="N119" s="7"/>
      <c r="O119" s="7"/>
    </row>
    <row r="120" spans="1:15" ht="74.25" customHeight="1" x14ac:dyDescent="0.3">
      <c r="A120" s="8" t="s">
        <v>99</v>
      </c>
      <c r="B120" s="3" t="s">
        <v>309</v>
      </c>
      <c r="C120" s="1"/>
      <c r="D120" s="69">
        <v>1</v>
      </c>
      <c r="E120" s="68">
        <v>535</v>
      </c>
      <c r="F120" s="13">
        <f>ROUND(E120*(1-$F$9),9)</f>
        <v>481.5</v>
      </c>
      <c r="G120" s="38">
        <v>0</v>
      </c>
      <c r="H120" s="39">
        <f>F120*G120</f>
        <v>0</v>
      </c>
      <c r="I120" s="22">
        <f>17.5*G120</f>
        <v>0</v>
      </c>
      <c r="J120" s="18">
        <f>0.039*G120</f>
        <v>0</v>
      </c>
      <c r="K120" s="61"/>
      <c r="L120" s="61"/>
      <c r="M120" s="7"/>
      <c r="N120" s="7"/>
      <c r="O120" s="7"/>
    </row>
    <row r="121" spans="1:15" ht="75" customHeight="1" x14ac:dyDescent="0.3">
      <c r="A121" s="62" t="s">
        <v>100</v>
      </c>
      <c r="B121" s="63" t="s">
        <v>310</v>
      </c>
      <c r="C121" s="64"/>
      <c r="D121" s="69">
        <v>1</v>
      </c>
      <c r="E121" s="68">
        <v>348</v>
      </c>
      <c r="F121" s="65">
        <f>ROUND(E121*(1-$F$9),9)</f>
        <v>313.2</v>
      </c>
      <c r="G121" s="38">
        <v>0</v>
      </c>
      <c r="H121" s="39">
        <f>F121*G121</f>
        <v>0</v>
      </c>
      <c r="I121" s="22">
        <f>16.5*G121</f>
        <v>0</v>
      </c>
      <c r="J121" s="18">
        <f>0.052*G121</f>
        <v>0</v>
      </c>
      <c r="K121" s="61"/>
      <c r="L121" s="61"/>
      <c r="M121" s="7"/>
      <c r="N121" s="7"/>
      <c r="O121" s="7"/>
    </row>
    <row r="122" spans="1:15" ht="72.75" customHeight="1" x14ac:dyDescent="0.3">
      <c r="A122" s="62" t="s">
        <v>101</v>
      </c>
      <c r="B122" s="63" t="s">
        <v>311</v>
      </c>
      <c r="C122" s="64"/>
      <c r="D122" s="69">
        <v>1</v>
      </c>
      <c r="E122" s="68">
        <v>592</v>
      </c>
      <c r="F122" s="65">
        <f>ROUND(E122*(1-$F$9),9)</f>
        <v>532.79999999999995</v>
      </c>
      <c r="G122" s="38">
        <v>0</v>
      </c>
      <c r="H122" s="39">
        <f>F122*G122</f>
        <v>0</v>
      </c>
      <c r="I122" s="22">
        <f>19*G122</f>
        <v>0</v>
      </c>
      <c r="J122" s="18">
        <f>0.096*G122</f>
        <v>0</v>
      </c>
      <c r="K122" s="61"/>
      <c r="L122" s="61"/>
      <c r="M122" s="7"/>
      <c r="N122" s="7"/>
      <c r="O122" s="7"/>
    </row>
    <row r="123" spans="1:15" ht="71.25" customHeight="1" x14ac:dyDescent="0.3">
      <c r="A123" s="8" t="s">
        <v>102</v>
      </c>
      <c r="B123" s="3" t="s">
        <v>312</v>
      </c>
      <c r="C123" s="1"/>
      <c r="D123" s="69">
        <v>1</v>
      </c>
      <c r="E123" s="68">
        <v>825</v>
      </c>
      <c r="F123" s="13">
        <f>ROUND(E123*(1-$F$9),9)</f>
        <v>742.5</v>
      </c>
      <c r="G123" s="38">
        <v>0</v>
      </c>
      <c r="H123" s="39">
        <f>F123*G123</f>
        <v>0</v>
      </c>
      <c r="I123" s="22">
        <f>21*G123</f>
        <v>0</v>
      </c>
      <c r="J123" s="18">
        <f>0.042*G123</f>
        <v>0</v>
      </c>
      <c r="K123" s="61"/>
      <c r="L123" s="61"/>
      <c r="M123" s="7"/>
      <c r="N123" s="7"/>
      <c r="O123" s="7"/>
    </row>
    <row r="124" spans="1:15" ht="64.5" customHeight="1" x14ac:dyDescent="0.3">
      <c r="A124" s="8" t="s">
        <v>103</v>
      </c>
      <c r="B124" s="3" t="s">
        <v>313</v>
      </c>
      <c r="C124" s="1"/>
      <c r="D124" s="69">
        <v>1</v>
      </c>
      <c r="E124" s="68">
        <v>825</v>
      </c>
      <c r="F124" s="13">
        <f>ROUND(E124*(1-$F$9),9)</f>
        <v>742.5</v>
      </c>
      <c r="G124" s="38">
        <v>0</v>
      </c>
      <c r="H124" s="39">
        <f>F124*G124</f>
        <v>0</v>
      </c>
      <c r="I124" s="22">
        <f>20.5*G124</f>
        <v>0</v>
      </c>
      <c r="J124" s="18">
        <f>0.042*G124</f>
        <v>0</v>
      </c>
      <c r="K124" s="61"/>
      <c r="L124" s="61"/>
      <c r="M124" s="7"/>
      <c r="N124" s="7"/>
      <c r="O124" s="7"/>
    </row>
    <row r="125" spans="1:15" ht="61.5" customHeight="1" x14ac:dyDescent="0.3">
      <c r="A125" s="8" t="s">
        <v>104</v>
      </c>
      <c r="B125" s="3" t="s">
        <v>314</v>
      </c>
      <c r="C125" s="1"/>
      <c r="D125" s="69">
        <v>1</v>
      </c>
      <c r="E125" s="68">
        <v>535</v>
      </c>
      <c r="F125" s="13">
        <f>ROUND(E125*(1-$F$9),9)</f>
        <v>481.5</v>
      </c>
      <c r="G125" s="38">
        <v>0</v>
      </c>
      <c r="H125" s="39">
        <f>F125*G125</f>
        <v>0</v>
      </c>
      <c r="I125" s="22">
        <f>15*G125</f>
        <v>0</v>
      </c>
      <c r="J125" s="18">
        <f>0.036*G125</f>
        <v>0</v>
      </c>
      <c r="K125" s="61"/>
      <c r="L125" s="61"/>
      <c r="M125" s="7"/>
      <c r="N125" s="7"/>
      <c r="O125" s="7"/>
    </row>
    <row r="126" spans="1:15" ht="70.5" customHeight="1" x14ac:dyDescent="0.3">
      <c r="A126" s="8" t="s">
        <v>105</v>
      </c>
      <c r="B126" s="3" t="s">
        <v>315</v>
      </c>
      <c r="C126" s="1"/>
      <c r="D126" s="69">
        <v>1</v>
      </c>
      <c r="E126" s="68">
        <v>331</v>
      </c>
      <c r="F126" s="13">
        <f>ROUND(E126*(1-$F$9),9)</f>
        <v>297.89999999999998</v>
      </c>
      <c r="G126" s="38">
        <v>0</v>
      </c>
      <c r="H126" s="39">
        <f>F126*G126</f>
        <v>0</v>
      </c>
      <c r="I126" s="22">
        <f>12.5*G126</f>
        <v>0</v>
      </c>
      <c r="J126" s="18">
        <f>0.03*G126</f>
        <v>0</v>
      </c>
      <c r="K126" s="61"/>
      <c r="L126" s="61"/>
      <c r="M126" s="7"/>
      <c r="N126" s="7"/>
      <c r="O126" s="7"/>
    </row>
    <row r="127" spans="1:15" ht="67.5" customHeight="1" x14ac:dyDescent="0.3">
      <c r="A127" s="8" t="s">
        <v>106</v>
      </c>
      <c r="B127" s="3" t="s">
        <v>316</v>
      </c>
      <c r="C127" s="1"/>
      <c r="D127" s="69">
        <v>1</v>
      </c>
      <c r="E127" s="68">
        <v>825</v>
      </c>
      <c r="F127" s="13">
        <f>ROUND(E127*(1-$F$9),9)</f>
        <v>742.5</v>
      </c>
      <c r="G127" s="38">
        <v>0</v>
      </c>
      <c r="H127" s="39">
        <f>F127*G127</f>
        <v>0</v>
      </c>
      <c r="I127" s="22">
        <f>20*G127</f>
        <v>0</v>
      </c>
      <c r="J127" s="18">
        <f>0.42*G127</f>
        <v>0</v>
      </c>
      <c r="K127" s="61"/>
      <c r="L127" s="61"/>
      <c r="M127" s="7"/>
      <c r="N127" s="7"/>
      <c r="O127" s="7"/>
    </row>
    <row r="128" spans="1:15" ht="66" customHeight="1" x14ac:dyDescent="0.3">
      <c r="A128" s="8" t="s">
        <v>107</v>
      </c>
      <c r="B128" s="3" t="s">
        <v>317</v>
      </c>
      <c r="C128" s="1"/>
      <c r="D128" s="69">
        <v>1</v>
      </c>
      <c r="E128" s="68">
        <v>689</v>
      </c>
      <c r="F128" s="13">
        <f>ROUND(E128*(1-$F$9),9)</f>
        <v>620.1</v>
      </c>
      <c r="G128" s="38">
        <v>0</v>
      </c>
      <c r="H128" s="39">
        <f>F128*G128</f>
        <v>0</v>
      </c>
      <c r="I128" s="22">
        <f>29.5*G128</f>
        <v>0</v>
      </c>
      <c r="J128" s="18">
        <f>0.071*G128</f>
        <v>0</v>
      </c>
      <c r="K128" s="61"/>
      <c r="L128" s="61"/>
      <c r="M128" s="7"/>
      <c r="N128" s="7"/>
      <c r="O128" s="7"/>
    </row>
    <row r="129" spans="1:15" ht="64.5" customHeight="1" x14ac:dyDescent="0.3">
      <c r="A129" s="8" t="s">
        <v>108</v>
      </c>
      <c r="B129" s="3" t="s">
        <v>318</v>
      </c>
      <c r="C129" s="1"/>
      <c r="D129" s="69">
        <v>1</v>
      </c>
      <c r="E129" s="68">
        <v>825</v>
      </c>
      <c r="F129" s="13">
        <f>ROUND(E129*(1-$F$9),9)</f>
        <v>742.5</v>
      </c>
      <c r="G129" s="38">
        <v>0</v>
      </c>
      <c r="H129" s="39">
        <f>F129*G129</f>
        <v>0</v>
      </c>
      <c r="I129" s="22">
        <f>20*G129</f>
        <v>0</v>
      </c>
      <c r="J129" s="18">
        <f>0.042*G129</f>
        <v>0</v>
      </c>
      <c r="K129" s="61"/>
      <c r="L129" s="61"/>
      <c r="M129" s="7"/>
      <c r="N129" s="7"/>
      <c r="O129" s="7"/>
    </row>
    <row r="130" spans="1:15" ht="67.5" customHeight="1" x14ac:dyDescent="0.3">
      <c r="A130" s="8" t="s">
        <v>109</v>
      </c>
      <c r="B130" s="3" t="s">
        <v>319</v>
      </c>
      <c r="C130" s="1"/>
      <c r="D130" s="69">
        <v>1</v>
      </c>
      <c r="E130" s="68">
        <v>722</v>
      </c>
      <c r="F130" s="13">
        <f>ROUND(E130*(1-$F$9),9)</f>
        <v>649.79999999999995</v>
      </c>
      <c r="G130" s="38">
        <v>0</v>
      </c>
      <c r="H130" s="39">
        <f>F130*G130</f>
        <v>0</v>
      </c>
      <c r="I130" s="22">
        <f>14*G130</f>
        <v>0</v>
      </c>
      <c r="J130" s="18">
        <f>0.034*G130</f>
        <v>0</v>
      </c>
      <c r="K130" s="61"/>
      <c r="L130" s="61"/>
      <c r="M130" s="7"/>
      <c r="N130" s="7"/>
      <c r="O130" s="7"/>
    </row>
    <row r="131" spans="1:15" ht="63" customHeight="1" x14ac:dyDescent="0.3">
      <c r="A131" s="8" t="s">
        <v>110</v>
      </c>
      <c r="B131" s="3" t="s">
        <v>320</v>
      </c>
      <c r="C131" s="1"/>
      <c r="D131" s="69">
        <v>1</v>
      </c>
      <c r="E131" s="68">
        <v>921</v>
      </c>
      <c r="F131" s="13">
        <f>ROUND(E131*(1-$F$9),9)</f>
        <v>828.9</v>
      </c>
      <c r="G131" s="38">
        <v>0</v>
      </c>
      <c r="H131" s="39">
        <f>F131*G131</f>
        <v>0</v>
      </c>
      <c r="I131" s="22">
        <f>22*G131</f>
        <v>0</v>
      </c>
      <c r="J131" s="18">
        <f>0.047*G131</f>
        <v>0</v>
      </c>
      <c r="K131" s="61"/>
      <c r="L131" s="61"/>
      <c r="M131" s="7"/>
      <c r="N131" s="7"/>
      <c r="O131" s="7"/>
    </row>
    <row r="132" spans="1:15" ht="71.25" customHeight="1" x14ac:dyDescent="0.3">
      <c r="A132" s="62" t="s">
        <v>111</v>
      </c>
      <c r="B132" s="63" t="s">
        <v>321</v>
      </c>
      <c r="C132" s="64"/>
      <c r="D132" s="69">
        <v>1</v>
      </c>
      <c r="E132" s="68">
        <v>825</v>
      </c>
      <c r="F132" s="65">
        <f>ROUND(E132*(1-$F$9),9)</f>
        <v>742.5</v>
      </c>
      <c r="G132" s="38">
        <v>0</v>
      </c>
      <c r="H132" s="39">
        <f>F132*G132</f>
        <v>0</v>
      </c>
      <c r="I132" s="22">
        <f>21*G132</f>
        <v>0</v>
      </c>
      <c r="J132" s="18">
        <f>0.041*G132</f>
        <v>0</v>
      </c>
      <c r="K132" s="61"/>
      <c r="L132" s="61"/>
      <c r="M132" s="7"/>
      <c r="N132" s="7"/>
      <c r="O132" s="7"/>
    </row>
    <row r="133" spans="1:15" ht="64.5" customHeight="1" x14ac:dyDescent="0.3">
      <c r="A133" s="62" t="s">
        <v>112</v>
      </c>
      <c r="B133" s="63" t="s">
        <v>322</v>
      </c>
      <c r="C133" s="64"/>
      <c r="D133" s="69">
        <v>1</v>
      </c>
      <c r="E133" s="68">
        <v>825</v>
      </c>
      <c r="F133" s="65">
        <f>ROUND(E133*(1-$F$9),9)</f>
        <v>742.5</v>
      </c>
      <c r="G133" s="38">
        <v>0</v>
      </c>
      <c r="H133" s="39">
        <f>F133*G133</f>
        <v>0</v>
      </c>
      <c r="I133" s="22">
        <f>21*G133</f>
        <v>0</v>
      </c>
      <c r="J133" s="18">
        <f>0.041*G133</f>
        <v>0</v>
      </c>
      <c r="K133" s="61"/>
      <c r="L133" s="61"/>
      <c r="M133" s="7"/>
      <c r="N133" s="7"/>
      <c r="O133" s="7"/>
    </row>
    <row r="134" spans="1:15" ht="65.25" customHeight="1" x14ac:dyDescent="0.3">
      <c r="A134" s="8" t="s">
        <v>113</v>
      </c>
      <c r="B134" s="3" t="s">
        <v>323</v>
      </c>
      <c r="C134" s="1"/>
      <c r="D134" s="69">
        <v>1</v>
      </c>
      <c r="E134" s="68">
        <v>535</v>
      </c>
      <c r="F134" s="13">
        <f>ROUND(E134*(1-$F$9),9)</f>
        <v>481.5</v>
      </c>
      <c r="G134" s="38">
        <v>0</v>
      </c>
      <c r="H134" s="39">
        <f>F134*G134</f>
        <v>0</v>
      </c>
      <c r="I134" s="22">
        <f>17.5*G134</f>
        <v>0</v>
      </c>
      <c r="J134" s="18">
        <f>0.037*G134</f>
        <v>0</v>
      </c>
      <c r="K134" s="61"/>
      <c r="L134" s="61"/>
      <c r="M134" s="7"/>
      <c r="N134" s="7"/>
      <c r="O134" s="7"/>
    </row>
    <row r="135" spans="1:15" ht="63.75" customHeight="1" x14ac:dyDescent="0.3">
      <c r="A135" s="8" t="s">
        <v>114</v>
      </c>
      <c r="B135" s="3" t="s">
        <v>324</v>
      </c>
      <c r="C135" s="1"/>
      <c r="D135" s="69">
        <v>1</v>
      </c>
      <c r="E135" s="68">
        <v>722</v>
      </c>
      <c r="F135" s="13">
        <f>ROUND(E135*(1-$F$9),9)</f>
        <v>649.79999999999995</v>
      </c>
      <c r="G135" s="38">
        <v>0</v>
      </c>
      <c r="H135" s="39">
        <f>F135*G135</f>
        <v>0</v>
      </c>
      <c r="I135" s="22">
        <f>14*G135</f>
        <v>0</v>
      </c>
      <c r="J135" s="18">
        <f>0.034*G135</f>
        <v>0</v>
      </c>
      <c r="K135" s="61"/>
      <c r="L135" s="61"/>
      <c r="M135" s="7"/>
      <c r="N135" s="7"/>
      <c r="O135" s="7"/>
    </row>
    <row r="136" spans="1:15" ht="80.25" customHeight="1" x14ac:dyDescent="0.3">
      <c r="A136" s="8" t="s">
        <v>115</v>
      </c>
      <c r="B136" s="3" t="s">
        <v>325</v>
      </c>
      <c r="C136" s="1"/>
      <c r="D136" s="69">
        <v>1</v>
      </c>
      <c r="E136" s="68">
        <v>921</v>
      </c>
      <c r="F136" s="13">
        <f>ROUND(E136*(1-$F$9),9)</f>
        <v>828.9</v>
      </c>
      <c r="G136" s="38">
        <v>0</v>
      </c>
      <c r="H136" s="39">
        <f>F136*G136</f>
        <v>0</v>
      </c>
      <c r="I136" s="22">
        <f>23.5*G136</f>
        <v>0</v>
      </c>
      <c r="J136" s="18">
        <f>0.049*G136</f>
        <v>0</v>
      </c>
      <c r="K136" s="61"/>
      <c r="L136" s="61"/>
      <c r="M136" s="7"/>
      <c r="N136" s="7"/>
      <c r="O136" s="7"/>
    </row>
    <row r="137" spans="1:15" ht="81" customHeight="1" x14ac:dyDescent="0.3">
      <c r="A137" s="8" t="s">
        <v>116</v>
      </c>
      <c r="B137" s="3" t="s">
        <v>326</v>
      </c>
      <c r="C137" s="1"/>
      <c r="D137" s="69">
        <v>1</v>
      </c>
      <c r="E137" s="68">
        <v>1176</v>
      </c>
      <c r="F137" s="13">
        <f>ROUND(E137*(1-$F$9),9)</f>
        <v>1058.4000000000001</v>
      </c>
      <c r="G137" s="38">
        <v>0</v>
      </c>
      <c r="H137" s="39">
        <f>F137*G137</f>
        <v>0</v>
      </c>
      <c r="I137" s="22">
        <f>21*G137</f>
        <v>0</v>
      </c>
      <c r="J137" s="18">
        <f>0.047*G137</f>
        <v>0</v>
      </c>
      <c r="K137" s="61"/>
      <c r="L137" s="61"/>
      <c r="M137" s="7"/>
      <c r="N137" s="7"/>
      <c r="O137" s="7"/>
    </row>
    <row r="138" spans="1:15" ht="72.75" customHeight="1" x14ac:dyDescent="0.3">
      <c r="A138" s="62" t="s">
        <v>117</v>
      </c>
      <c r="B138" s="63" t="s">
        <v>327</v>
      </c>
      <c r="C138" s="64"/>
      <c r="D138" s="69">
        <v>1</v>
      </c>
      <c r="E138" s="68">
        <v>825</v>
      </c>
      <c r="F138" s="65">
        <f>ROUND(E138*(1-$F$9),9)</f>
        <v>742.5</v>
      </c>
      <c r="G138" s="38">
        <v>0</v>
      </c>
      <c r="H138" s="39">
        <f>F138*G138</f>
        <v>0</v>
      </c>
      <c r="I138" s="22">
        <f>21*G138</f>
        <v>0</v>
      </c>
      <c r="J138" s="18">
        <f>0.041*G138</f>
        <v>0</v>
      </c>
      <c r="K138" s="61"/>
      <c r="L138" s="61"/>
      <c r="M138" s="7"/>
      <c r="N138" s="7"/>
      <c r="O138" s="7"/>
    </row>
    <row r="139" spans="1:15" ht="69" customHeight="1" x14ac:dyDescent="0.3">
      <c r="A139" s="8" t="s">
        <v>118</v>
      </c>
      <c r="B139" s="3" t="s">
        <v>328</v>
      </c>
      <c r="C139" s="1"/>
      <c r="D139" s="69">
        <v>1</v>
      </c>
      <c r="E139" s="68">
        <v>689</v>
      </c>
      <c r="F139" s="13">
        <f>ROUND(E139*(1-$F$9),9)</f>
        <v>620.1</v>
      </c>
      <c r="G139" s="38">
        <v>0</v>
      </c>
      <c r="H139" s="39">
        <f>F139*G139</f>
        <v>0</v>
      </c>
      <c r="I139" s="22">
        <f>30*G139</f>
        <v>0</v>
      </c>
      <c r="J139" s="18">
        <f>0.071*G139</f>
        <v>0</v>
      </c>
      <c r="K139" s="61"/>
      <c r="L139" s="61"/>
      <c r="M139" s="7"/>
      <c r="N139" s="7"/>
      <c r="O139" s="7"/>
    </row>
    <row r="140" spans="1:15" ht="66.75" customHeight="1" x14ac:dyDescent="0.3">
      <c r="A140" s="8" t="s">
        <v>119</v>
      </c>
      <c r="B140" s="3" t="s">
        <v>329</v>
      </c>
      <c r="C140" s="1"/>
      <c r="D140" s="69">
        <v>1</v>
      </c>
      <c r="E140" s="68">
        <v>921</v>
      </c>
      <c r="F140" s="13">
        <f>ROUND(E140*(1-$F$9),9)</f>
        <v>828.9</v>
      </c>
      <c r="G140" s="38">
        <v>0</v>
      </c>
      <c r="H140" s="39">
        <f>F140*G140</f>
        <v>0</v>
      </c>
      <c r="I140" s="22">
        <f>23.5*G140</f>
        <v>0</v>
      </c>
      <c r="J140" s="18">
        <f>0.049*G140</f>
        <v>0</v>
      </c>
      <c r="K140" s="61"/>
      <c r="L140" s="61"/>
      <c r="M140" s="7"/>
      <c r="N140" s="7"/>
      <c r="O140" s="7"/>
    </row>
    <row r="141" spans="1:15" ht="75.75" customHeight="1" x14ac:dyDescent="0.3">
      <c r="A141" s="8" t="s">
        <v>120</v>
      </c>
      <c r="B141" s="3" t="s">
        <v>330</v>
      </c>
      <c r="C141" s="1"/>
      <c r="D141" s="69">
        <v>1</v>
      </c>
      <c r="E141" s="68">
        <v>456</v>
      </c>
      <c r="F141" s="13">
        <f>ROUND(E141*(1-$F$9),9)</f>
        <v>410.4</v>
      </c>
      <c r="G141" s="38">
        <v>0</v>
      </c>
      <c r="H141" s="39">
        <f>F141*G141</f>
        <v>0</v>
      </c>
      <c r="I141" s="22">
        <f>23*G141</f>
        <v>0</v>
      </c>
      <c r="J141" s="18">
        <f>0.081*G141</f>
        <v>0</v>
      </c>
      <c r="K141" s="61"/>
      <c r="L141" s="61"/>
      <c r="M141" s="7"/>
      <c r="N141" s="7"/>
      <c r="O141" s="7"/>
    </row>
    <row r="142" spans="1:15" ht="74.25" customHeight="1" x14ac:dyDescent="0.3">
      <c r="A142" s="62" t="s">
        <v>121</v>
      </c>
      <c r="B142" s="63" t="s">
        <v>331</v>
      </c>
      <c r="C142" s="64"/>
      <c r="D142" s="69">
        <v>1</v>
      </c>
      <c r="E142" s="68">
        <v>516</v>
      </c>
      <c r="F142" s="65">
        <f>ROUND(E142*(1-$F$9),9)</f>
        <v>464.4</v>
      </c>
      <c r="G142" s="38">
        <v>0</v>
      </c>
      <c r="H142" s="39">
        <f>F142*G142</f>
        <v>0</v>
      </c>
      <c r="I142" s="22">
        <f>17*G142</f>
        <v>0</v>
      </c>
      <c r="J142" s="18">
        <f>0.059*G142</f>
        <v>0</v>
      </c>
      <c r="K142" s="61"/>
      <c r="L142" s="61"/>
      <c r="M142" s="7"/>
      <c r="N142" s="7"/>
      <c r="O142" s="7"/>
    </row>
    <row r="143" spans="1:15" ht="75.75" customHeight="1" x14ac:dyDescent="0.3">
      <c r="A143" s="62" t="s">
        <v>122</v>
      </c>
      <c r="B143" s="63" t="s">
        <v>332</v>
      </c>
      <c r="C143" s="64"/>
      <c r="D143" s="69">
        <v>1</v>
      </c>
      <c r="E143" s="68">
        <v>891</v>
      </c>
      <c r="F143" s="65">
        <f>ROUND(E143*(1-$F$9),9)</f>
        <v>801.9</v>
      </c>
      <c r="G143" s="38">
        <v>0</v>
      </c>
      <c r="H143" s="39">
        <f>F143*G143</f>
        <v>0</v>
      </c>
      <c r="I143" s="22">
        <f>20*G143</f>
        <v>0</v>
      </c>
      <c r="J143" s="18">
        <f>0.061*G143</f>
        <v>0</v>
      </c>
      <c r="K143" s="61"/>
      <c r="L143" s="61"/>
      <c r="M143" s="7"/>
      <c r="N143" s="7"/>
      <c r="O143" s="7"/>
    </row>
    <row r="144" spans="1:15" ht="77.25" customHeight="1" x14ac:dyDescent="0.3">
      <c r="A144" s="8" t="s">
        <v>123</v>
      </c>
      <c r="B144" s="3" t="s">
        <v>333</v>
      </c>
      <c r="C144" s="1"/>
      <c r="D144" s="69">
        <v>1</v>
      </c>
      <c r="E144" s="68">
        <v>1176</v>
      </c>
      <c r="F144" s="13">
        <f>ROUND(E144*(1-$F$9),9)</f>
        <v>1058.4000000000001</v>
      </c>
      <c r="G144" s="38">
        <v>0</v>
      </c>
      <c r="H144" s="39">
        <f>F144*G144</f>
        <v>0</v>
      </c>
      <c r="I144" s="22">
        <f>20.5*G144</f>
        <v>0</v>
      </c>
      <c r="J144" s="18">
        <f>0.046*G144</f>
        <v>0</v>
      </c>
      <c r="K144" s="61"/>
      <c r="L144" s="61"/>
      <c r="M144" s="7"/>
      <c r="N144" s="7"/>
      <c r="O144" s="7"/>
    </row>
    <row r="145" spans="1:15" ht="75" customHeight="1" x14ac:dyDescent="0.3">
      <c r="A145" s="62" t="s">
        <v>124</v>
      </c>
      <c r="B145" s="63" t="s">
        <v>334</v>
      </c>
      <c r="C145" s="64"/>
      <c r="D145" s="69">
        <v>1</v>
      </c>
      <c r="E145" s="68">
        <v>1064</v>
      </c>
      <c r="F145" s="65">
        <f>ROUND(E145*(1-$F$9),9)</f>
        <v>957.6</v>
      </c>
      <c r="G145" s="38">
        <v>0</v>
      </c>
      <c r="H145" s="39">
        <f>F145*G145</f>
        <v>0</v>
      </c>
      <c r="I145" s="22">
        <f>20*G145</f>
        <v>0</v>
      </c>
      <c r="J145" s="18">
        <f>0.043*G145</f>
        <v>0</v>
      </c>
      <c r="K145" s="61"/>
      <c r="L145" s="61"/>
      <c r="M145" s="7"/>
      <c r="N145" s="7"/>
      <c r="O145" s="7"/>
    </row>
    <row r="146" spans="1:15" ht="66.75" customHeight="1" x14ac:dyDescent="0.3">
      <c r="A146" s="62" t="s">
        <v>125</v>
      </c>
      <c r="B146" s="63" t="s">
        <v>335</v>
      </c>
      <c r="C146" s="64"/>
      <c r="D146" s="69">
        <v>1</v>
      </c>
      <c r="E146" s="68">
        <v>891</v>
      </c>
      <c r="F146" s="65">
        <f>ROUND(E146*(1-$F$9),9)</f>
        <v>801.9</v>
      </c>
      <c r="G146" s="38">
        <v>0</v>
      </c>
      <c r="H146" s="39">
        <f>F146*G146</f>
        <v>0</v>
      </c>
      <c r="I146" s="22">
        <f>21*G146</f>
        <v>0</v>
      </c>
      <c r="J146" s="18">
        <f>0.061*G146</f>
        <v>0</v>
      </c>
      <c r="K146" s="61"/>
      <c r="L146" s="61"/>
      <c r="M146" s="7"/>
      <c r="N146" s="7"/>
      <c r="O146" s="7"/>
    </row>
    <row r="147" spans="1:15" ht="75" customHeight="1" x14ac:dyDescent="0.3">
      <c r="A147" s="62" t="s">
        <v>126</v>
      </c>
      <c r="B147" s="63" t="s">
        <v>336</v>
      </c>
      <c r="C147" s="64"/>
      <c r="D147" s="69">
        <v>1</v>
      </c>
      <c r="E147" s="68">
        <v>826</v>
      </c>
      <c r="F147" s="65">
        <f>ROUND(E147*(1-$F$9),9)</f>
        <v>743.4</v>
      </c>
      <c r="G147" s="38">
        <v>0</v>
      </c>
      <c r="H147" s="39">
        <f>F147*G147</f>
        <v>0</v>
      </c>
      <c r="I147" s="22">
        <f>24.5*G147</f>
        <v>0</v>
      </c>
      <c r="J147" s="18">
        <f>0.09*G147</f>
        <v>0</v>
      </c>
      <c r="K147" s="61"/>
      <c r="L147" s="61"/>
      <c r="M147" s="7"/>
      <c r="N147" s="7"/>
      <c r="O147" s="7"/>
    </row>
    <row r="148" spans="1:15" ht="73.5" customHeight="1" x14ac:dyDescent="0.3">
      <c r="A148" s="62" t="s">
        <v>127</v>
      </c>
      <c r="B148" s="63" t="s">
        <v>337</v>
      </c>
      <c r="C148" s="64"/>
      <c r="D148" s="69">
        <v>1</v>
      </c>
      <c r="E148" s="68">
        <v>891</v>
      </c>
      <c r="F148" s="65">
        <f>ROUND(E148*(1-$F$9),9)</f>
        <v>801.9</v>
      </c>
      <c r="G148" s="38">
        <v>0</v>
      </c>
      <c r="H148" s="39">
        <f>F148*G148</f>
        <v>0</v>
      </c>
      <c r="I148" s="22">
        <f>20*G148</f>
        <v>0</v>
      </c>
      <c r="J148" s="18">
        <f>0.061*G148</f>
        <v>0</v>
      </c>
      <c r="K148" s="61"/>
      <c r="L148" s="61"/>
      <c r="M148" s="7"/>
      <c r="N148" s="7"/>
      <c r="O148" s="7"/>
    </row>
    <row r="149" spans="1:15" ht="70.5" customHeight="1" x14ac:dyDescent="0.3">
      <c r="A149" s="62" t="s">
        <v>128</v>
      </c>
      <c r="B149" s="63" t="s">
        <v>338</v>
      </c>
      <c r="C149" s="64"/>
      <c r="D149" s="69">
        <v>1</v>
      </c>
      <c r="E149" s="68">
        <v>1064</v>
      </c>
      <c r="F149" s="65">
        <f>ROUND(E149*(1-$F$9),9)</f>
        <v>957.6</v>
      </c>
      <c r="G149" s="38">
        <v>0</v>
      </c>
      <c r="H149" s="39">
        <f>F149*G149</f>
        <v>0</v>
      </c>
      <c r="I149" s="22">
        <f>20*G149</f>
        <v>0</v>
      </c>
      <c r="J149" s="18">
        <f>0.043*G149</f>
        <v>0</v>
      </c>
      <c r="K149" s="61"/>
      <c r="L149" s="61"/>
      <c r="M149" s="7"/>
      <c r="N149" s="7"/>
      <c r="O149" s="7"/>
    </row>
    <row r="150" spans="1:15" ht="72" customHeight="1" x14ac:dyDescent="0.3">
      <c r="A150" s="62" t="s">
        <v>129</v>
      </c>
      <c r="B150" s="63" t="s">
        <v>339</v>
      </c>
      <c r="C150" s="64"/>
      <c r="D150" s="69">
        <v>1</v>
      </c>
      <c r="E150" s="68">
        <v>665</v>
      </c>
      <c r="F150" s="65">
        <f>ROUND(E150*(1-$F$9),9)</f>
        <v>598.5</v>
      </c>
      <c r="G150" s="38">
        <v>0</v>
      </c>
      <c r="H150" s="39">
        <f>F150*G150</f>
        <v>0</v>
      </c>
      <c r="I150" s="22">
        <f>23*G150</f>
        <v>0</v>
      </c>
      <c r="J150" s="18">
        <f>0.09*G150</f>
        <v>0</v>
      </c>
      <c r="K150" s="61"/>
      <c r="L150" s="61"/>
      <c r="M150" s="7"/>
      <c r="N150" s="7"/>
      <c r="O150" s="7"/>
    </row>
    <row r="151" spans="1:15" ht="69" customHeight="1" x14ac:dyDescent="0.3">
      <c r="A151" s="62" t="s">
        <v>130</v>
      </c>
      <c r="B151" s="63" t="s">
        <v>340</v>
      </c>
      <c r="C151" s="64"/>
      <c r="D151" s="69">
        <v>1</v>
      </c>
      <c r="E151" s="68">
        <v>1064</v>
      </c>
      <c r="F151" s="65">
        <f>ROUND(E151*(1-$F$9),9)</f>
        <v>957.6</v>
      </c>
      <c r="G151" s="38">
        <v>0</v>
      </c>
      <c r="H151" s="39">
        <f>F151*G151</f>
        <v>0</v>
      </c>
      <c r="I151" s="22">
        <f>20*G151</f>
        <v>0</v>
      </c>
      <c r="J151" s="18">
        <f>0.043*G151</f>
        <v>0</v>
      </c>
      <c r="K151" s="61"/>
      <c r="L151" s="61"/>
      <c r="M151" s="7"/>
      <c r="N151" s="7"/>
      <c r="O151" s="7"/>
    </row>
    <row r="152" spans="1:15" ht="61.5" customHeight="1" x14ac:dyDescent="0.3">
      <c r="A152" s="62" t="s">
        <v>131</v>
      </c>
      <c r="B152" s="63" t="s">
        <v>341</v>
      </c>
      <c r="C152" s="64"/>
      <c r="D152" s="69">
        <v>1</v>
      </c>
      <c r="E152" s="68">
        <v>665</v>
      </c>
      <c r="F152" s="65">
        <f>ROUND(E152*(1-$F$9),9)</f>
        <v>598.5</v>
      </c>
      <c r="G152" s="38">
        <v>0</v>
      </c>
      <c r="H152" s="39">
        <f>F152*G152</f>
        <v>0</v>
      </c>
      <c r="I152" s="22">
        <f>23*G152</f>
        <v>0</v>
      </c>
      <c r="J152" s="18">
        <f>0.09*G152</f>
        <v>0</v>
      </c>
      <c r="K152" s="61"/>
      <c r="L152" s="61"/>
      <c r="M152" s="7"/>
      <c r="N152" s="7"/>
      <c r="O152" s="7"/>
    </row>
    <row r="153" spans="1:15" ht="69" customHeight="1" x14ac:dyDescent="0.3">
      <c r="A153" s="62" t="s">
        <v>132</v>
      </c>
      <c r="B153" s="63" t="s">
        <v>342</v>
      </c>
      <c r="C153" s="64"/>
      <c r="D153" s="69">
        <v>1</v>
      </c>
      <c r="E153" s="68">
        <v>1064</v>
      </c>
      <c r="F153" s="65">
        <f>ROUND(E153*(1-$F$9),9)</f>
        <v>957.6</v>
      </c>
      <c r="G153" s="38">
        <v>0</v>
      </c>
      <c r="H153" s="39">
        <f>F153*G153</f>
        <v>0</v>
      </c>
      <c r="I153" s="22">
        <f>20*G153</f>
        <v>0</v>
      </c>
      <c r="J153" s="18">
        <f>0.043*G153</f>
        <v>0</v>
      </c>
      <c r="K153" s="61"/>
      <c r="L153" s="61"/>
      <c r="M153" s="7"/>
      <c r="N153" s="7"/>
      <c r="O153" s="7"/>
    </row>
    <row r="154" spans="1:15" ht="72" customHeight="1" x14ac:dyDescent="0.3">
      <c r="A154" s="62" t="s">
        <v>133</v>
      </c>
      <c r="B154" s="63" t="s">
        <v>343</v>
      </c>
      <c r="C154" s="64"/>
      <c r="D154" s="69">
        <v>1</v>
      </c>
      <c r="E154" s="68">
        <v>1059</v>
      </c>
      <c r="F154" s="65">
        <f>ROUND(E154*(1-$F$9),9)</f>
        <v>953.1</v>
      </c>
      <c r="G154" s="38">
        <v>0</v>
      </c>
      <c r="H154" s="39">
        <f>F154*G154</f>
        <v>0</v>
      </c>
      <c r="I154" s="22">
        <f>21*G154</f>
        <v>0</v>
      </c>
      <c r="J154" s="18">
        <f t="shared" ref="J154:J155" si="2">0.043*G154</f>
        <v>0</v>
      </c>
      <c r="K154" s="61"/>
      <c r="L154" s="61"/>
      <c r="M154" s="7"/>
      <c r="N154" s="7"/>
      <c r="O154" s="7"/>
    </row>
    <row r="155" spans="1:15" ht="72.75" customHeight="1" x14ac:dyDescent="0.3">
      <c r="A155" s="62" t="s">
        <v>134</v>
      </c>
      <c r="B155" s="63" t="s">
        <v>344</v>
      </c>
      <c r="C155" s="64"/>
      <c r="D155" s="69">
        <v>1</v>
      </c>
      <c r="E155" s="68">
        <v>1059</v>
      </c>
      <c r="F155" s="65">
        <f>ROUND(E155*(1-$F$9),9)</f>
        <v>953.1</v>
      </c>
      <c r="G155" s="38">
        <v>0</v>
      </c>
      <c r="H155" s="39">
        <f>F155*G155</f>
        <v>0</v>
      </c>
      <c r="I155" s="22">
        <f>21*G155</f>
        <v>0</v>
      </c>
      <c r="J155" s="18">
        <f t="shared" si="2"/>
        <v>0</v>
      </c>
      <c r="K155" s="61"/>
      <c r="L155" s="61"/>
      <c r="M155" s="7"/>
      <c r="N155" s="7"/>
      <c r="O155" s="7"/>
    </row>
    <row r="156" spans="1:15" ht="68.25" customHeight="1" x14ac:dyDescent="0.3">
      <c r="A156" s="62" t="s">
        <v>135</v>
      </c>
      <c r="B156" s="63" t="s">
        <v>345</v>
      </c>
      <c r="C156" s="64"/>
      <c r="D156" s="69">
        <v>1</v>
      </c>
      <c r="E156" s="68">
        <v>2016</v>
      </c>
      <c r="F156" s="65">
        <f>ROUND(E156*(1-$F$9),9)</f>
        <v>1814.4</v>
      </c>
      <c r="G156" s="38">
        <v>0</v>
      </c>
      <c r="H156" s="39">
        <f>F156*G156</f>
        <v>0</v>
      </c>
      <c r="I156" s="22">
        <f>15.5*G156</f>
        <v>0</v>
      </c>
      <c r="J156" s="18">
        <f>0.083*G156</f>
        <v>0</v>
      </c>
      <c r="K156" s="61"/>
      <c r="L156" s="61"/>
      <c r="M156" s="7"/>
      <c r="N156" s="7"/>
      <c r="O156" s="7"/>
    </row>
    <row r="157" spans="1:15" ht="67.5" customHeight="1" x14ac:dyDescent="0.3">
      <c r="A157" s="62" t="s">
        <v>136</v>
      </c>
      <c r="B157" s="63" t="s">
        <v>346</v>
      </c>
      <c r="C157" s="64"/>
      <c r="D157" s="69">
        <v>1</v>
      </c>
      <c r="E157" s="68">
        <v>2016</v>
      </c>
      <c r="F157" s="65">
        <f>ROUND(E157*(1-$F$9),9)</f>
        <v>1814.4</v>
      </c>
      <c r="G157" s="38">
        <v>0</v>
      </c>
      <c r="H157" s="39">
        <f>F157*G157</f>
        <v>0</v>
      </c>
      <c r="I157" s="22">
        <f>15.5*G157</f>
        <v>0</v>
      </c>
      <c r="J157" s="18">
        <f>0.083*G157</f>
        <v>0</v>
      </c>
      <c r="K157" s="61"/>
      <c r="L157" s="61"/>
      <c r="M157" s="7"/>
      <c r="N157" s="7"/>
      <c r="O157" s="7"/>
    </row>
    <row r="158" spans="1:15" ht="69.75" customHeight="1" x14ac:dyDescent="0.3">
      <c r="A158" s="62" t="s">
        <v>137</v>
      </c>
      <c r="B158" s="63" t="s">
        <v>347</v>
      </c>
      <c r="C158" s="64"/>
      <c r="D158" s="69">
        <v>1</v>
      </c>
      <c r="E158" s="68">
        <v>1885</v>
      </c>
      <c r="F158" s="65">
        <f>ROUND(E158*(1-$F$9),9)</f>
        <v>1696.5</v>
      </c>
      <c r="G158" s="38">
        <v>0</v>
      </c>
      <c r="H158" s="39">
        <f>F158*G158</f>
        <v>0</v>
      </c>
      <c r="I158" s="22">
        <f>17*G158</f>
        <v>0</v>
      </c>
      <c r="J158" s="18">
        <f>0.051*G158</f>
        <v>0</v>
      </c>
      <c r="K158" s="61"/>
      <c r="L158" s="61"/>
      <c r="M158" s="7"/>
      <c r="N158" s="7"/>
      <c r="O158" s="7"/>
    </row>
    <row r="159" spans="1:15" ht="65.25" customHeight="1" x14ac:dyDescent="0.3">
      <c r="A159" s="62" t="s">
        <v>138</v>
      </c>
      <c r="B159" s="63" t="s">
        <v>348</v>
      </c>
      <c r="C159" s="64"/>
      <c r="D159" s="69">
        <v>1</v>
      </c>
      <c r="E159" s="68">
        <v>1764</v>
      </c>
      <c r="F159" s="65">
        <f>ROUND(E159*(1-$F$9),9)</f>
        <v>1587.6</v>
      </c>
      <c r="G159" s="38">
        <v>0</v>
      </c>
      <c r="H159" s="39">
        <f>F159*G159</f>
        <v>0</v>
      </c>
      <c r="I159" s="22">
        <f>18*G159</f>
        <v>0</v>
      </c>
      <c r="J159" s="18">
        <f>0.056*G159</f>
        <v>0</v>
      </c>
      <c r="K159" s="61"/>
      <c r="L159" s="61"/>
      <c r="M159" s="7"/>
      <c r="N159" s="7"/>
      <c r="O159" s="7"/>
    </row>
    <row r="160" spans="1:15" ht="64.5" customHeight="1" x14ac:dyDescent="0.3">
      <c r="A160" s="62" t="s">
        <v>139</v>
      </c>
      <c r="B160" s="63" t="s">
        <v>349</v>
      </c>
      <c r="C160" s="64"/>
      <c r="D160" s="69">
        <v>1</v>
      </c>
      <c r="E160" s="68">
        <v>1885</v>
      </c>
      <c r="F160" s="65">
        <f>ROUND(E160*(1-$F$9),9)</f>
        <v>1696.5</v>
      </c>
      <c r="G160" s="38">
        <v>0</v>
      </c>
      <c r="H160" s="39">
        <f>F160*G160</f>
        <v>0</v>
      </c>
      <c r="I160" s="22">
        <f>17*G160</f>
        <v>0</v>
      </c>
      <c r="J160" s="18">
        <f>0.051*G160</f>
        <v>0</v>
      </c>
      <c r="K160" s="61"/>
      <c r="L160" s="61"/>
      <c r="M160" s="7"/>
      <c r="N160" s="7"/>
      <c r="O160" s="7"/>
    </row>
    <row r="161" spans="1:15" ht="65.25" customHeight="1" x14ac:dyDescent="0.3">
      <c r="A161" s="62" t="s">
        <v>140</v>
      </c>
      <c r="B161" s="63" t="s">
        <v>426</v>
      </c>
      <c r="C161" s="64"/>
      <c r="D161" s="69">
        <v>1</v>
      </c>
      <c r="E161" s="68">
        <v>1885</v>
      </c>
      <c r="F161" s="65">
        <f>ROUND(E161*(1-$F$9),9)</f>
        <v>1696.5</v>
      </c>
      <c r="G161" s="38">
        <v>0</v>
      </c>
      <c r="H161" s="39">
        <f>F161*G161</f>
        <v>0</v>
      </c>
      <c r="I161" s="22">
        <f>17*G161</f>
        <v>0</v>
      </c>
      <c r="J161" s="18">
        <f t="shared" ref="J161:J163" si="3">0.051*G161</f>
        <v>0</v>
      </c>
      <c r="K161" s="61"/>
      <c r="L161" s="61"/>
      <c r="M161" s="7"/>
      <c r="N161" s="7"/>
      <c r="O161" s="7"/>
    </row>
    <row r="162" spans="1:15" ht="59.25" customHeight="1" x14ac:dyDescent="0.3">
      <c r="A162" s="62" t="s">
        <v>141</v>
      </c>
      <c r="B162" s="63" t="s">
        <v>350</v>
      </c>
      <c r="C162" s="64"/>
      <c r="D162" s="69">
        <v>1</v>
      </c>
      <c r="E162" s="68">
        <v>1885</v>
      </c>
      <c r="F162" s="65">
        <f>ROUND(E162*(1-$F$9),9)</f>
        <v>1696.5</v>
      </c>
      <c r="G162" s="38">
        <v>0</v>
      </c>
      <c r="H162" s="39">
        <f>F162*G162</f>
        <v>0</v>
      </c>
      <c r="I162" s="22">
        <f>17*G162</f>
        <v>0</v>
      </c>
      <c r="J162" s="18">
        <f t="shared" si="3"/>
        <v>0</v>
      </c>
      <c r="K162" s="61"/>
      <c r="L162" s="61"/>
      <c r="M162" s="7"/>
      <c r="N162" s="7"/>
      <c r="O162" s="7"/>
    </row>
    <row r="163" spans="1:15" ht="65.25" customHeight="1" x14ac:dyDescent="0.3">
      <c r="A163" s="62" t="s">
        <v>142</v>
      </c>
      <c r="B163" s="63" t="s">
        <v>351</v>
      </c>
      <c r="C163" s="64"/>
      <c r="D163" s="69">
        <v>1</v>
      </c>
      <c r="E163" s="68">
        <v>1885</v>
      </c>
      <c r="F163" s="65">
        <f>ROUND(E163*(1-$F$9),9)</f>
        <v>1696.5</v>
      </c>
      <c r="G163" s="38">
        <v>0</v>
      </c>
      <c r="H163" s="39">
        <f>F163*G163</f>
        <v>0</v>
      </c>
      <c r="I163" s="22">
        <f>17*G163</f>
        <v>0</v>
      </c>
      <c r="J163" s="18">
        <f t="shared" si="3"/>
        <v>0</v>
      </c>
      <c r="K163" s="61"/>
      <c r="L163" s="61"/>
      <c r="M163" s="7"/>
      <c r="N163" s="7"/>
      <c r="O163" s="7"/>
    </row>
    <row r="164" spans="1:15" ht="68.25" customHeight="1" x14ac:dyDescent="0.3">
      <c r="A164" s="62" t="s">
        <v>143</v>
      </c>
      <c r="B164" s="63" t="s">
        <v>352</v>
      </c>
      <c r="C164" s="64"/>
      <c r="D164" s="69">
        <v>1</v>
      </c>
      <c r="E164" s="68">
        <v>1725</v>
      </c>
      <c r="F164" s="65">
        <f>ROUND(E164*(1-$F$9),9)</f>
        <v>1552.5</v>
      </c>
      <c r="G164" s="38">
        <v>0</v>
      </c>
      <c r="H164" s="39">
        <f>F164*G164</f>
        <v>0</v>
      </c>
      <c r="I164" s="22">
        <f>18*G164</f>
        <v>0</v>
      </c>
      <c r="J164" s="18">
        <f>0.056*G164</f>
        <v>0</v>
      </c>
      <c r="K164" s="61"/>
      <c r="L164" s="61"/>
      <c r="M164" s="7"/>
      <c r="N164" s="7"/>
      <c r="O164" s="7"/>
    </row>
    <row r="165" spans="1:15" ht="72" customHeight="1" x14ac:dyDescent="0.3">
      <c r="A165" s="62" t="s">
        <v>144</v>
      </c>
      <c r="B165" s="63" t="s">
        <v>353</v>
      </c>
      <c r="C165" s="64"/>
      <c r="D165" s="69">
        <v>1</v>
      </c>
      <c r="E165" s="68">
        <v>1764</v>
      </c>
      <c r="F165" s="65">
        <f>ROUND(E165*(1-$F$9),9)</f>
        <v>1587.6</v>
      </c>
      <c r="G165" s="38">
        <v>0</v>
      </c>
      <c r="H165" s="39">
        <f>F165*G165</f>
        <v>0</v>
      </c>
      <c r="I165" s="22">
        <f>18*G165</f>
        <v>0</v>
      </c>
      <c r="J165" s="18">
        <f>0.056*G165</f>
        <v>0</v>
      </c>
      <c r="K165" s="61"/>
      <c r="L165" s="61"/>
      <c r="M165" s="7"/>
      <c r="N165" s="7"/>
      <c r="O165" s="7"/>
    </row>
    <row r="166" spans="1:15" ht="68.25" customHeight="1" x14ac:dyDescent="0.3">
      <c r="A166" s="62" t="s">
        <v>145</v>
      </c>
      <c r="B166" s="63" t="s">
        <v>354</v>
      </c>
      <c r="C166" s="64"/>
      <c r="D166" s="69">
        <v>1</v>
      </c>
      <c r="E166" s="68">
        <v>1885</v>
      </c>
      <c r="F166" s="65">
        <f>ROUND(E166*(1-$F$9),9)</f>
        <v>1696.5</v>
      </c>
      <c r="G166" s="38">
        <v>0</v>
      </c>
      <c r="H166" s="39">
        <f>F166*G166</f>
        <v>0</v>
      </c>
      <c r="I166" s="22">
        <f>17*G166</f>
        <v>0</v>
      </c>
      <c r="J166" s="18">
        <f>0.051*G166</f>
        <v>0</v>
      </c>
      <c r="K166" s="61"/>
      <c r="L166" s="61"/>
      <c r="M166" s="7"/>
      <c r="N166" s="7"/>
      <c r="O166" s="7"/>
    </row>
    <row r="167" spans="1:15" ht="73.5" customHeight="1" x14ac:dyDescent="0.3">
      <c r="A167" s="62" t="s">
        <v>146</v>
      </c>
      <c r="B167" s="63" t="s">
        <v>355</v>
      </c>
      <c r="C167" s="64"/>
      <c r="D167" s="69">
        <v>1</v>
      </c>
      <c r="E167" s="68">
        <v>1885</v>
      </c>
      <c r="F167" s="65">
        <f>ROUND(E167*(1-$F$9),9)</f>
        <v>1696.5</v>
      </c>
      <c r="G167" s="38">
        <v>0</v>
      </c>
      <c r="H167" s="39">
        <f>F167*G167</f>
        <v>0</v>
      </c>
      <c r="I167" s="22">
        <f>17*G167</f>
        <v>0</v>
      </c>
      <c r="J167" s="18">
        <f t="shared" ref="J167:J169" si="4">0.051*G167</f>
        <v>0</v>
      </c>
      <c r="K167" s="61"/>
      <c r="L167" s="61"/>
      <c r="M167" s="7"/>
      <c r="N167" s="7"/>
      <c r="O167" s="7"/>
    </row>
    <row r="168" spans="1:15" ht="71.25" customHeight="1" x14ac:dyDescent="0.3">
      <c r="A168" s="62" t="s">
        <v>147</v>
      </c>
      <c r="B168" s="63" t="s">
        <v>356</v>
      </c>
      <c r="C168" s="64"/>
      <c r="D168" s="69">
        <v>1</v>
      </c>
      <c r="E168" s="68">
        <v>1885</v>
      </c>
      <c r="F168" s="65">
        <f>ROUND(E168*(1-$F$9),9)</f>
        <v>1696.5</v>
      </c>
      <c r="G168" s="38">
        <v>0</v>
      </c>
      <c r="H168" s="39">
        <f>F168*G168</f>
        <v>0</v>
      </c>
      <c r="I168" s="22">
        <f>17*G168</f>
        <v>0</v>
      </c>
      <c r="J168" s="18">
        <f t="shared" si="4"/>
        <v>0</v>
      </c>
      <c r="K168" s="61"/>
      <c r="L168" s="61"/>
      <c r="M168" s="7"/>
      <c r="N168" s="7"/>
      <c r="O168" s="7"/>
    </row>
    <row r="169" spans="1:15" ht="74.25" customHeight="1" x14ac:dyDescent="0.3">
      <c r="A169" s="62" t="s">
        <v>148</v>
      </c>
      <c r="B169" s="63" t="s">
        <v>357</v>
      </c>
      <c r="C169" s="64"/>
      <c r="D169" s="69">
        <v>1</v>
      </c>
      <c r="E169" s="68">
        <v>1885</v>
      </c>
      <c r="F169" s="65">
        <f>ROUND(E169*(1-$F$9),9)</f>
        <v>1696.5</v>
      </c>
      <c r="G169" s="38">
        <v>0</v>
      </c>
      <c r="H169" s="39">
        <f>F169*G169</f>
        <v>0</v>
      </c>
      <c r="I169" s="22">
        <f>17*G169</f>
        <v>0</v>
      </c>
      <c r="J169" s="18">
        <f t="shared" si="4"/>
        <v>0</v>
      </c>
      <c r="K169" s="61"/>
      <c r="L169" s="61"/>
      <c r="M169" s="7"/>
      <c r="N169" s="7"/>
      <c r="O169" s="7"/>
    </row>
    <row r="170" spans="1:15" ht="72.75" customHeight="1" x14ac:dyDescent="0.3">
      <c r="A170" s="62" t="s">
        <v>149</v>
      </c>
      <c r="B170" s="63" t="s">
        <v>358</v>
      </c>
      <c r="C170" s="64"/>
      <c r="D170" s="69">
        <v>1</v>
      </c>
      <c r="E170" s="68">
        <v>1758</v>
      </c>
      <c r="F170" s="65">
        <f>ROUND(E170*(1-$F$9),9)</f>
        <v>1582.2</v>
      </c>
      <c r="G170" s="38">
        <v>0</v>
      </c>
      <c r="H170" s="39">
        <f>F170*G170</f>
        <v>0</v>
      </c>
      <c r="I170" s="22">
        <f>18.5*G170</f>
        <v>0</v>
      </c>
      <c r="J170" s="18">
        <f>0.043*G170</f>
        <v>0</v>
      </c>
      <c r="K170" s="61"/>
      <c r="L170" s="61"/>
      <c r="M170" s="7"/>
      <c r="N170" s="7"/>
      <c r="O170" s="7"/>
    </row>
    <row r="171" spans="1:15" ht="73.5" customHeight="1" x14ac:dyDescent="0.3">
      <c r="A171" s="62" t="s">
        <v>150</v>
      </c>
      <c r="B171" s="63" t="s">
        <v>359</v>
      </c>
      <c r="C171" s="64"/>
      <c r="D171" s="69">
        <v>1</v>
      </c>
      <c r="E171" s="68">
        <v>1758</v>
      </c>
      <c r="F171" s="65">
        <f>ROUND(E171*(1-$F$9),9)</f>
        <v>1582.2</v>
      </c>
      <c r="G171" s="38">
        <v>0</v>
      </c>
      <c r="H171" s="39">
        <f>F171*G171</f>
        <v>0</v>
      </c>
      <c r="I171" s="22">
        <f>18.5*G171</f>
        <v>0</v>
      </c>
      <c r="J171" s="18">
        <f t="shared" ref="J171:J173" si="5">0.043*G171</f>
        <v>0</v>
      </c>
      <c r="K171" s="61"/>
      <c r="L171" s="61"/>
      <c r="M171" s="7"/>
      <c r="N171" s="7"/>
      <c r="O171" s="7"/>
    </row>
    <row r="172" spans="1:15" ht="75" customHeight="1" x14ac:dyDescent="0.3">
      <c r="A172" s="62" t="s">
        <v>151</v>
      </c>
      <c r="B172" s="63" t="s">
        <v>360</v>
      </c>
      <c r="C172" s="64"/>
      <c r="D172" s="69">
        <v>1</v>
      </c>
      <c r="E172" s="68">
        <v>1758</v>
      </c>
      <c r="F172" s="65">
        <f>ROUND(E172*(1-$F$9),9)</f>
        <v>1582.2</v>
      </c>
      <c r="G172" s="38">
        <v>0</v>
      </c>
      <c r="H172" s="39">
        <f>F172*G172</f>
        <v>0</v>
      </c>
      <c r="I172" s="22">
        <f>18.5*G172</f>
        <v>0</v>
      </c>
      <c r="J172" s="18">
        <f t="shared" si="5"/>
        <v>0</v>
      </c>
      <c r="K172" s="61"/>
      <c r="L172" s="61"/>
      <c r="M172" s="7"/>
      <c r="N172" s="7"/>
      <c r="O172" s="7"/>
    </row>
    <row r="173" spans="1:15" ht="70.5" customHeight="1" x14ac:dyDescent="0.3">
      <c r="A173" s="62" t="s">
        <v>152</v>
      </c>
      <c r="B173" s="63" t="s">
        <v>361</v>
      </c>
      <c r="C173" s="64"/>
      <c r="D173" s="69">
        <v>1</v>
      </c>
      <c r="E173" s="68">
        <v>1758</v>
      </c>
      <c r="F173" s="65">
        <f>ROUND(E173*(1-$F$9),9)</f>
        <v>1582.2</v>
      </c>
      <c r="G173" s="38">
        <v>0</v>
      </c>
      <c r="H173" s="39">
        <f>F173*G173</f>
        <v>0</v>
      </c>
      <c r="I173" s="22">
        <f>18.5*G173</f>
        <v>0</v>
      </c>
      <c r="J173" s="18">
        <f t="shared" si="5"/>
        <v>0</v>
      </c>
      <c r="K173" s="61"/>
      <c r="L173" s="61"/>
      <c r="M173" s="7"/>
      <c r="N173" s="7"/>
      <c r="O173" s="7"/>
    </row>
    <row r="174" spans="1:15" ht="65.25" customHeight="1" x14ac:dyDescent="0.3">
      <c r="A174" s="62" t="s">
        <v>153</v>
      </c>
      <c r="B174" s="63" t="s">
        <v>362</v>
      </c>
      <c r="C174" s="64"/>
      <c r="D174" s="69">
        <v>1</v>
      </c>
      <c r="E174" s="68">
        <v>1758</v>
      </c>
      <c r="F174" s="65">
        <f>ROUND(E174*(1-$F$9),9)</f>
        <v>1582.2</v>
      </c>
      <c r="G174" s="38">
        <v>0</v>
      </c>
      <c r="H174" s="39">
        <f>F174*G174</f>
        <v>0</v>
      </c>
      <c r="I174" s="22">
        <f t="shared" ref="I174:I179" si="6">15*G174</f>
        <v>0</v>
      </c>
      <c r="J174" s="18">
        <f>0.04*G174</f>
        <v>0</v>
      </c>
      <c r="K174" s="61"/>
      <c r="L174" s="61"/>
      <c r="M174" s="7"/>
      <c r="N174" s="7"/>
      <c r="O174" s="7"/>
    </row>
    <row r="175" spans="1:15" ht="71.25" customHeight="1" x14ac:dyDescent="0.3">
      <c r="A175" s="62" t="s">
        <v>154</v>
      </c>
      <c r="B175" s="63" t="s">
        <v>427</v>
      </c>
      <c r="C175" s="64"/>
      <c r="D175" s="69">
        <v>1</v>
      </c>
      <c r="E175" s="68">
        <v>2619</v>
      </c>
      <c r="F175" s="65">
        <f>ROUND(E175*(1-$F$9),9)</f>
        <v>2357.1</v>
      </c>
      <c r="G175" s="38">
        <v>0</v>
      </c>
      <c r="H175" s="39">
        <f>F175*G175</f>
        <v>0</v>
      </c>
      <c r="I175" s="22">
        <f t="shared" si="6"/>
        <v>0</v>
      </c>
      <c r="J175" s="18">
        <f>0.038*G175</f>
        <v>0</v>
      </c>
      <c r="K175" s="61"/>
      <c r="L175" s="61"/>
      <c r="M175" s="7"/>
      <c r="N175" s="7"/>
      <c r="O175" s="7"/>
    </row>
    <row r="176" spans="1:15" ht="66" customHeight="1" x14ac:dyDescent="0.3">
      <c r="A176" s="62" t="s">
        <v>155</v>
      </c>
      <c r="B176" s="63" t="s">
        <v>363</v>
      </c>
      <c r="C176" s="64"/>
      <c r="D176" s="69">
        <v>1</v>
      </c>
      <c r="E176" s="68">
        <v>2619</v>
      </c>
      <c r="F176" s="65">
        <f>ROUND(E176*(1-$F$9),9)</f>
        <v>2357.1</v>
      </c>
      <c r="G176" s="38">
        <v>0</v>
      </c>
      <c r="H176" s="39">
        <f>F176*G176</f>
        <v>0</v>
      </c>
      <c r="I176" s="22">
        <f t="shared" si="6"/>
        <v>0</v>
      </c>
      <c r="J176" s="18">
        <f t="shared" ref="J176:J179" si="7">0.038*G176</f>
        <v>0</v>
      </c>
      <c r="K176" s="61"/>
      <c r="L176" s="61"/>
      <c r="M176" s="7"/>
      <c r="N176" s="7"/>
      <c r="O176" s="7"/>
    </row>
    <row r="177" spans="1:15" ht="72" customHeight="1" x14ac:dyDescent="0.3">
      <c r="A177" s="62" t="s">
        <v>156</v>
      </c>
      <c r="B177" s="63" t="s">
        <v>364</v>
      </c>
      <c r="C177" s="64"/>
      <c r="D177" s="69">
        <v>1</v>
      </c>
      <c r="E177" s="68">
        <v>2619</v>
      </c>
      <c r="F177" s="65">
        <f>ROUND(E177*(1-$F$9),9)</f>
        <v>2357.1</v>
      </c>
      <c r="G177" s="38">
        <v>0</v>
      </c>
      <c r="H177" s="39">
        <f>F177*G177</f>
        <v>0</v>
      </c>
      <c r="I177" s="22">
        <f t="shared" si="6"/>
        <v>0</v>
      </c>
      <c r="J177" s="18">
        <f t="shared" si="7"/>
        <v>0</v>
      </c>
      <c r="K177" s="61"/>
      <c r="L177" s="61"/>
      <c r="M177" s="7"/>
      <c r="N177" s="7"/>
      <c r="O177" s="7"/>
    </row>
    <row r="178" spans="1:15" ht="73.5" customHeight="1" x14ac:dyDescent="0.3">
      <c r="A178" s="62" t="s">
        <v>157</v>
      </c>
      <c r="B178" s="63" t="s">
        <v>365</v>
      </c>
      <c r="C178" s="64"/>
      <c r="D178" s="69">
        <v>1</v>
      </c>
      <c r="E178" s="68">
        <v>2619</v>
      </c>
      <c r="F178" s="65">
        <f>ROUND(E178*(1-$F$9),9)</f>
        <v>2357.1</v>
      </c>
      <c r="G178" s="38">
        <v>0</v>
      </c>
      <c r="H178" s="39">
        <f>F178*G178</f>
        <v>0</v>
      </c>
      <c r="I178" s="22">
        <f t="shared" si="6"/>
        <v>0</v>
      </c>
      <c r="J178" s="18">
        <f t="shared" si="7"/>
        <v>0</v>
      </c>
      <c r="K178" s="61"/>
      <c r="L178" s="61"/>
      <c r="M178" s="7"/>
      <c r="N178" s="7"/>
      <c r="O178" s="7"/>
    </row>
    <row r="179" spans="1:15" ht="75.75" customHeight="1" x14ac:dyDescent="0.3">
      <c r="A179" s="62" t="s">
        <v>158</v>
      </c>
      <c r="B179" s="63" t="s">
        <v>366</v>
      </c>
      <c r="C179" s="64"/>
      <c r="D179" s="69">
        <v>1</v>
      </c>
      <c r="E179" s="68">
        <v>2619</v>
      </c>
      <c r="F179" s="65">
        <f>ROUND(E179*(1-$F$9),9)</f>
        <v>2357.1</v>
      </c>
      <c r="G179" s="38">
        <v>0</v>
      </c>
      <c r="H179" s="39">
        <f>F179*G179</f>
        <v>0</v>
      </c>
      <c r="I179" s="22">
        <f t="shared" si="6"/>
        <v>0</v>
      </c>
      <c r="J179" s="18">
        <f t="shared" si="7"/>
        <v>0</v>
      </c>
      <c r="K179" s="61"/>
      <c r="L179" s="61"/>
      <c r="M179" s="7"/>
      <c r="N179" s="7"/>
      <c r="O179" s="7"/>
    </row>
    <row r="180" spans="1:15" ht="69.75" customHeight="1" x14ac:dyDescent="0.3">
      <c r="A180" s="62" t="s">
        <v>159</v>
      </c>
      <c r="B180" s="63" t="s">
        <v>367</v>
      </c>
      <c r="C180" s="64"/>
      <c r="D180" s="69">
        <v>1</v>
      </c>
      <c r="E180" s="68">
        <v>2156</v>
      </c>
      <c r="F180" s="65">
        <f>ROUND(E180*(1-$F$9),9)</f>
        <v>1940.4</v>
      </c>
      <c r="G180" s="38">
        <v>0</v>
      </c>
      <c r="H180" s="39">
        <f>F180*G180</f>
        <v>0</v>
      </c>
      <c r="I180" s="22">
        <f>18*G180</f>
        <v>0</v>
      </c>
      <c r="J180" s="18">
        <f>0.048*G180</f>
        <v>0</v>
      </c>
      <c r="K180" s="61"/>
      <c r="L180" s="61"/>
      <c r="M180" s="7"/>
      <c r="N180" s="7"/>
      <c r="O180" s="7"/>
    </row>
    <row r="181" spans="1:15" ht="75" customHeight="1" x14ac:dyDescent="0.3">
      <c r="A181" s="62" t="s">
        <v>160</v>
      </c>
      <c r="B181" s="63" t="s">
        <v>368</v>
      </c>
      <c r="C181" s="64"/>
      <c r="D181" s="69">
        <v>1</v>
      </c>
      <c r="E181" s="68">
        <v>2619</v>
      </c>
      <c r="F181" s="65">
        <f>ROUND(E181*(1-$F$9),9)</f>
        <v>2357.1</v>
      </c>
      <c r="G181" s="38">
        <v>0</v>
      </c>
      <c r="H181" s="39">
        <f>F181*G181</f>
        <v>0</v>
      </c>
      <c r="I181" s="22">
        <f>14*G181</f>
        <v>0</v>
      </c>
      <c r="J181" s="18">
        <f>0.038*G181</f>
        <v>0</v>
      </c>
      <c r="K181" s="61"/>
      <c r="L181" s="61"/>
      <c r="M181" s="7"/>
      <c r="N181" s="7"/>
      <c r="O181" s="7"/>
    </row>
    <row r="182" spans="1:15" ht="69.75" customHeight="1" x14ac:dyDescent="0.3">
      <c r="A182" s="62" t="s">
        <v>161</v>
      </c>
      <c r="B182" s="63" t="s">
        <v>369</v>
      </c>
      <c r="C182" s="64"/>
      <c r="D182" s="69">
        <v>1</v>
      </c>
      <c r="E182" s="68">
        <v>2619</v>
      </c>
      <c r="F182" s="65">
        <f>ROUND(E182*(1-$F$9),9)</f>
        <v>2357.1</v>
      </c>
      <c r="G182" s="38">
        <v>0</v>
      </c>
      <c r="H182" s="39">
        <f>F182*G182</f>
        <v>0</v>
      </c>
      <c r="I182" s="22">
        <f>14*G182</f>
        <v>0</v>
      </c>
      <c r="J182" s="18">
        <f t="shared" ref="J182:J185" si="8">0.038*G182</f>
        <v>0</v>
      </c>
      <c r="K182" s="61"/>
      <c r="L182" s="61"/>
      <c r="M182" s="7"/>
      <c r="N182" s="7"/>
      <c r="O182" s="7"/>
    </row>
    <row r="183" spans="1:15" ht="65.25" customHeight="1" x14ac:dyDescent="0.3">
      <c r="A183" s="62" t="s">
        <v>162</v>
      </c>
      <c r="B183" s="63" t="s">
        <v>370</v>
      </c>
      <c r="C183" s="64"/>
      <c r="D183" s="69">
        <v>1</v>
      </c>
      <c r="E183" s="68">
        <v>2619</v>
      </c>
      <c r="F183" s="65">
        <f>ROUND(E183*(1-$F$9),9)</f>
        <v>2357.1</v>
      </c>
      <c r="G183" s="38">
        <v>0</v>
      </c>
      <c r="H183" s="39">
        <f>F183*G183</f>
        <v>0</v>
      </c>
      <c r="I183" s="22">
        <f>14*G183</f>
        <v>0</v>
      </c>
      <c r="J183" s="18">
        <f t="shared" si="8"/>
        <v>0</v>
      </c>
      <c r="K183" s="61"/>
      <c r="L183" s="61"/>
      <c r="M183" s="7"/>
      <c r="N183" s="7"/>
      <c r="O183" s="7"/>
    </row>
    <row r="184" spans="1:15" ht="72.75" customHeight="1" x14ac:dyDescent="0.3">
      <c r="A184" s="62" t="s">
        <v>163</v>
      </c>
      <c r="B184" s="63" t="s">
        <v>371</v>
      </c>
      <c r="C184" s="64"/>
      <c r="D184" s="69">
        <v>1</v>
      </c>
      <c r="E184" s="68">
        <v>2619</v>
      </c>
      <c r="F184" s="65">
        <f>ROUND(E184*(1-$F$9),9)</f>
        <v>2357.1</v>
      </c>
      <c r="G184" s="38">
        <v>0</v>
      </c>
      <c r="H184" s="39">
        <f>F184*G184</f>
        <v>0</v>
      </c>
      <c r="I184" s="22">
        <f t="shared" ref="I184:I185" si="9">14*G184</f>
        <v>0</v>
      </c>
      <c r="J184" s="18">
        <f t="shared" si="8"/>
        <v>0</v>
      </c>
      <c r="K184" s="61"/>
      <c r="L184" s="61"/>
      <c r="M184" s="7"/>
      <c r="N184" s="7"/>
      <c r="O184" s="7"/>
    </row>
    <row r="185" spans="1:15" ht="66.75" customHeight="1" x14ac:dyDescent="0.3">
      <c r="A185" s="62" t="s">
        <v>164</v>
      </c>
      <c r="B185" s="63" t="s">
        <v>372</v>
      </c>
      <c r="C185" s="64"/>
      <c r="D185" s="69">
        <v>1</v>
      </c>
      <c r="E185" s="68">
        <v>2619</v>
      </c>
      <c r="F185" s="65">
        <f>ROUND(E185*(1-$F$9),9)</f>
        <v>2357.1</v>
      </c>
      <c r="G185" s="38">
        <v>0</v>
      </c>
      <c r="H185" s="39">
        <f>F185*G185</f>
        <v>0</v>
      </c>
      <c r="I185" s="22">
        <f t="shared" si="9"/>
        <v>0</v>
      </c>
      <c r="J185" s="18">
        <f t="shared" si="8"/>
        <v>0</v>
      </c>
      <c r="K185" s="61"/>
      <c r="L185" s="61"/>
      <c r="M185" s="7"/>
      <c r="N185" s="7"/>
      <c r="O185" s="7"/>
    </row>
    <row r="186" spans="1:15" ht="66" customHeight="1" x14ac:dyDescent="0.3">
      <c r="A186" s="62" t="s">
        <v>165</v>
      </c>
      <c r="B186" s="63" t="s">
        <v>373</v>
      </c>
      <c r="C186" s="64"/>
      <c r="D186" s="69">
        <v>1</v>
      </c>
      <c r="E186" s="68">
        <v>2156</v>
      </c>
      <c r="F186" s="65">
        <f>ROUND(E186*(1-$F$9),9)</f>
        <v>1940.4</v>
      </c>
      <c r="G186" s="38">
        <v>0</v>
      </c>
      <c r="H186" s="39">
        <f>F186*G186</f>
        <v>0</v>
      </c>
      <c r="I186" s="22">
        <f>18*G186</f>
        <v>0</v>
      </c>
      <c r="J186" s="18">
        <f>0.048*G186</f>
        <v>0</v>
      </c>
      <c r="K186" s="61"/>
      <c r="L186" s="61"/>
      <c r="M186" s="7"/>
      <c r="N186" s="7"/>
      <c r="O186" s="7"/>
    </row>
    <row r="187" spans="1:15" ht="78" customHeight="1" x14ac:dyDescent="0.3">
      <c r="A187" s="62" t="s">
        <v>166</v>
      </c>
      <c r="B187" s="63" t="s">
        <v>374</v>
      </c>
      <c r="C187" s="64"/>
      <c r="D187" s="69">
        <v>1</v>
      </c>
      <c r="E187" s="68">
        <v>2649</v>
      </c>
      <c r="F187" s="65">
        <f>ROUND(E187*(1-$F$9),9)</f>
        <v>2384.1</v>
      </c>
      <c r="G187" s="38">
        <v>0</v>
      </c>
      <c r="H187" s="39">
        <f>F187*G187</f>
        <v>0</v>
      </c>
      <c r="I187" s="22">
        <f>15*G187</f>
        <v>0</v>
      </c>
      <c r="J187" s="18">
        <f>0.05*G187</f>
        <v>0</v>
      </c>
      <c r="K187" s="61"/>
      <c r="L187" s="61"/>
      <c r="M187" s="7"/>
      <c r="N187" s="7"/>
      <c r="O187" s="7"/>
    </row>
    <row r="188" spans="1:15" ht="70.5" customHeight="1" x14ac:dyDescent="0.3">
      <c r="A188" s="62" t="s">
        <v>167</v>
      </c>
      <c r="B188" s="63" t="s">
        <v>375</v>
      </c>
      <c r="C188" s="64"/>
      <c r="D188" s="69">
        <v>1</v>
      </c>
      <c r="E188" s="68">
        <v>2649</v>
      </c>
      <c r="F188" s="65">
        <f>ROUND(E188*(1-$F$9),9)</f>
        <v>2384.1</v>
      </c>
      <c r="G188" s="38">
        <v>0</v>
      </c>
      <c r="H188" s="39">
        <f>F188*G188</f>
        <v>0</v>
      </c>
      <c r="I188" s="22">
        <f>15*G188</f>
        <v>0</v>
      </c>
      <c r="J188" s="18">
        <f t="shared" ref="J188:J189" si="10">0.05*G188</f>
        <v>0</v>
      </c>
      <c r="K188" s="61"/>
      <c r="L188" s="61"/>
      <c r="M188" s="7"/>
      <c r="N188" s="7"/>
      <c r="O188" s="7"/>
    </row>
    <row r="189" spans="1:15" ht="66.75" customHeight="1" x14ac:dyDescent="0.3">
      <c r="A189" s="62" t="s">
        <v>168</v>
      </c>
      <c r="B189" s="63" t="s">
        <v>376</v>
      </c>
      <c r="C189" s="64"/>
      <c r="D189" s="69">
        <v>1</v>
      </c>
      <c r="E189" s="68">
        <v>2649</v>
      </c>
      <c r="F189" s="65">
        <f>ROUND(E189*(1-$F$9),9)</f>
        <v>2384.1</v>
      </c>
      <c r="G189" s="38">
        <v>0</v>
      </c>
      <c r="H189" s="39">
        <f>F189*G189</f>
        <v>0</v>
      </c>
      <c r="I189" s="22">
        <f>15*G189</f>
        <v>0</v>
      </c>
      <c r="J189" s="18">
        <f t="shared" si="10"/>
        <v>0</v>
      </c>
      <c r="K189" s="61"/>
      <c r="L189" s="61"/>
      <c r="M189" s="7"/>
      <c r="N189" s="7"/>
      <c r="O189" s="7"/>
    </row>
    <row r="190" spans="1:15" ht="65.25" customHeight="1" x14ac:dyDescent="0.3">
      <c r="A190" s="62" t="s">
        <v>169</v>
      </c>
      <c r="B190" s="63" t="s">
        <v>377</v>
      </c>
      <c r="C190" s="64"/>
      <c r="D190" s="69">
        <v>1</v>
      </c>
      <c r="E190" s="68">
        <v>3481</v>
      </c>
      <c r="F190" s="65">
        <f>ROUND(E190*(1-$F$9),9)</f>
        <v>3132.9</v>
      </c>
      <c r="G190" s="38">
        <v>0</v>
      </c>
      <c r="H190" s="39">
        <f>F190*G190</f>
        <v>0</v>
      </c>
      <c r="I190" s="22">
        <f>21.2*G190</f>
        <v>0</v>
      </c>
      <c r="J190" s="18">
        <f>0.053*G190</f>
        <v>0</v>
      </c>
      <c r="K190" s="61"/>
      <c r="L190" s="61"/>
      <c r="M190" s="7"/>
      <c r="N190" s="7"/>
      <c r="O190" s="7"/>
    </row>
    <row r="191" spans="1:15" ht="63.75" customHeight="1" x14ac:dyDescent="0.3">
      <c r="A191" s="62" t="s">
        <v>170</v>
      </c>
      <c r="B191" s="63" t="s">
        <v>378</v>
      </c>
      <c r="C191" s="64"/>
      <c r="D191" s="69">
        <v>1</v>
      </c>
      <c r="E191" s="68">
        <v>3481</v>
      </c>
      <c r="F191" s="65">
        <f>ROUND(E191*(1-$F$9),9)</f>
        <v>3132.9</v>
      </c>
      <c r="G191" s="38">
        <v>0</v>
      </c>
      <c r="H191" s="39">
        <f>F191*G191</f>
        <v>0</v>
      </c>
      <c r="I191" s="22">
        <f t="shared" ref="I191:I192" si="11">21.2*G191</f>
        <v>0</v>
      </c>
      <c r="J191" s="18">
        <f t="shared" ref="J191:J192" si="12">0.053*G191</f>
        <v>0</v>
      </c>
      <c r="K191" s="61"/>
      <c r="L191" s="61"/>
      <c r="M191" s="7"/>
      <c r="N191" s="7"/>
      <c r="O191" s="7"/>
    </row>
    <row r="192" spans="1:15" ht="71.25" customHeight="1" x14ac:dyDescent="0.3">
      <c r="A192" s="62" t="s">
        <v>171</v>
      </c>
      <c r="B192" s="63" t="s">
        <v>379</v>
      </c>
      <c r="C192" s="64"/>
      <c r="D192" s="69">
        <v>1</v>
      </c>
      <c r="E192" s="68">
        <v>3481</v>
      </c>
      <c r="F192" s="65">
        <f>ROUND(E192*(1-$F$9),9)</f>
        <v>3132.9</v>
      </c>
      <c r="G192" s="38">
        <v>0</v>
      </c>
      <c r="H192" s="39">
        <f>F192*G192</f>
        <v>0</v>
      </c>
      <c r="I192" s="22">
        <f t="shared" si="11"/>
        <v>0</v>
      </c>
      <c r="J192" s="18">
        <f t="shared" si="12"/>
        <v>0</v>
      </c>
      <c r="K192" s="61"/>
      <c r="L192" s="61"/>
      <c r="M192" s="7"/>
      <c r="N192" s="7"/>
      <c r="O192" s="7"/>
    </row>
    <row r="193" spans="1:15" ht="67.5" customHeight="1" x14ac:dyDescent="0.3">
      <c r="A193" s="62" t="s">
        <v>172</v>
      </c>
      <c r="B193" s="63" t="s">
        <v>380</v>
      </c>
      <c r="C193" s="64"/>
      <c r="D193" s="69">
        <v>1</v>
      </c>
      <c r="E193" s="68">
        <v>3825</v>
      </c>
      <c r="F193" s="65">
        <f>ROUND(E193*(1-$F$9),9)</f>
        <v>3442.5</v>
      </c>
      <c r="G193" s="38">
        <v>0</v>
      </c>
      <c r="H193" s="39">
        <f>F193*G193</f>
        <v>0</v>
      </c>
      <c r="I193" s="22">
        <f>11*G193</f>
        <v>0</v>
      </c>
      <c r="J193" s="18">
        <f>0.033*G193</f>
        <v>0</v>
      </c>
      <c r="K193" s="61"/>
      <c r="L193" s="61"/>
      <c r="M193" s="7"/>
      <c r="N193" s="7"/>
      <c r="O193" s="7"/>
    </row>
    <row r="194" spans="1:15" ht="75" customHeight="1" x14ac:dyDescent="0.3">
      <c r="A194" s="62" t="s">
        <v>173</v>
      </c>
      <c r="B194" s="63" t="s">
        <v>381</v>
      </c>
      <c r="C194" s="64"/>
      <c r="D194" s="69">
        <v>1</v>
      </c>
      <c r="E194" s="68">
        <v>3825</v>
      </c>
      <c r="F194" s="65">
        <f>ROUND(E194*(1-$F$9),9)</f>
        <v>3442.5</v>
      </c>
      <c r="G194" s="38">
        <v>0</v>
      </c>
      <c r="H194" s="39">
        <f>F194*G194</f>
        <v>0</v>
      </c>
      <c r="I194" s="22">
        <f t="shared" ref="I194:I196" si="13">11*G194</f>
        <v>0</v>
      </c>
      <c r="J194" s="18">
        <f t="shared" ref="J194:J196" si="14">0.033*G194</f>
        <v>0</v>
      </c>
      <c r="K194" s="61"/>
      <c r="L194" s="61"/>
      <c r="M194" s="7"/>
      <c r="N194" s="7"/>
      <c r="O194" s="7"/>
    </row>
    <row r="195" spans="1:15" ht="69.75" customHeight="1" x14ac:dyDescent="0.3">
      <c r="A195" s="62" t="s">
        <v>174</v>
      </c>
      <c r="B195" s="63" t="s">
        <v>382</v>
      </c>
      <c r="C195" s="64"/>
      <c r="D195" s="69">
        <v>1</v>
      </c>
      <c r="E195" s="68">
        <v>3825</v>
      </c>
      <c r="F195" s="65">
        <f>ROUND(E195*(1-$F$9),9)</f>
        <v>3442.5</v>
      </c>
      <c r="G195" s="38">
        <v>0</v>
      </c>
      <c r="H195" s="39">
        <f>F195*G195</f>
        <v>0</v>
      </c>
      <c r="I195" s="22">
        <f t="shared" si="13"/>
        <v>0</v>
      </c>
      <c r="J195" s="18">
        <f t="shared" si="14"/>
        <v>0</v>
      </c>
      <c r="K195" s="61"/>
      <c r="L195" s="61"/>
      <c r="M195" s="7"/>
      <c r="N195" s="7"/>
      <c r="O195" s="7"/>
    </row>
    <row r="196" spans="1:15" ht="72" customHeight="1" x14ac:dyDescent="0.3">
      <c r="A196" s="62" t="s">
        <v>175</v>
      </c>
      <c r="B196" s="63" t="s">
        <v>383</v>
      </c>
      <c r="C196" s="64"/>
      <c r="D196" s="69">
        <v>1</v>
      </c>
      <c r="E196" s="68">
        <v>3825</v>
      </c>
      <c r="F196" s="65">
        <f>ROUND(E196*(1-$F$9),9)</f>
        <v>3442.5</v>
      </c>
      <c r="G196" s="38">
        <v>0</v>
      </c>
      <c r="H196" s="39">
        <f>F196*G196</f>
        <v>0</v>
      </c>
      <c r="I196" s="22">
        <f t="shared" si="13"/>
        <v>0</v>
      </c>
      <c r="J196" s="18">
        <f t="shared" si="14"/>
        <v>0</v>
      </c>
      <c r="K196" s="61"/>
      <c r="L196" s="61"/>
      <c r="M196" s="7"/>
      <c r="N196" s="7"/>
      <c r="O196" s="7"/>
    </row>
    <row r="197" spans="1:15" ht="74.25" customHeight="1" x14ac:dyDescent="0.3">
      <c r="A197" s="62" t="s">
        <v>176</v>
      </c>
      <c r="B197" s="63" t="s">
        <v>384</v>
      </c>
      <c r="C197" s="64"/>
      <c r="D197" s="69">
        <v>1</v>
      </c>
      <c r="E197" s="68">
        <v>2865</v>
      </c>
      <c r="F197" s="65">
        <f>ROUND(E197*(1-$F$9),9)</f>
        <v>2578.5</v>
      </c>
      <c r="G197" s="38">
        <v>0</v>
      </c>
      <c r="H197" s="39">
        <f>F197*G197</f>
        <v>0</v>
      </c>
      <c r="I197" s="22">
        <f>20*G197</f>
        <v>0</v>
      </c>
      <c r="J197" s="18">
        <f>0.051*G197</f>
        <v>0</v>
      </c>
      <c r="K197" s="61"/>
      <c r="L197" s="61"/>
      <c r="M197" s="7"/>
      <c r="N197" s="7"/>
      <c r="O197" s="7"/>
    </row>
    <row r="198" spans="1:15" ht="64.5" customHeight="1" x14ac:dyDescent="0.3">
      <c r="A198" s="62" t="s">
        <v>177</v>
      </c>
      <c r="B198" s="63" t="s">
        <v>385</v>
      </c>
      <c r="C198" s="64"/>
      <c r="D198" s="69">
        <v>1</v>
      </c>
      <c r="E198" s="68">
        <v>3635</v>
      </c>
      <c r="F198" s="65">
        <f>ROUND(E198*(1-$F$9),9)</f>
        <v>3271.5</v>
      </c>
      <c r="G198" s="38">
        <v>0</v>
      </c>
      <c r="H198" s="39">
        <f>F198*G198</f>
        <v>0</v>
      </c>
      <c r="I198" s="22">
        <f>19*G198</f>
        <v>0</v>
      </c>
      <c r="J198" s="18">
        <f>0.068*G198</f>
        <v>0</v>
      </c>
      <c r="K198" s="61"/>
      <c r="L198" s="61"/>
      <c r="M198" s="7"/>
      <c r="N198" s="7"/>
      <c r="O198" s="7"/>
    </row>
    <row r="199" spans="1:15" ht="72" customHeight="1" x14ac:dyDescent="0.3">
      <c r="A199" s="62" t="s">
        <v>178</v>
      </c>
      <c r="B199" s="63" t="s">
        <v>386</v>
      </c>
      <c r="C199" s="64"/>
      <c r="D199" s="69">
        <v>1</v>
      </c>
      <c r="E199" s="68">
        <v>3327</v>
      </c>
      <c r="F199" s="65">
        <f>ROUND(E199*(1-$F$9),9)</f>
        <v>2994.3</v>
      </c>
      <c r="G199" s="38">
        <v>0</v>
      </c>
      <c r="H199" s="39">
        <f>F199*G199</f>
        <v>0</v>
      </c>
      <c r="I199" s="22">
        <f>17*G199</f>
        <v>0</v>
      </c>
      <c r="J199" s="18">
        <f>0.045*G199</f>
        <v>0</v>
      </c>
      <c r="K199" s="61"/>
      <c r="L199" s="61"/>
      <c r="M199" s="7"/>
      <c r="N199" s="7"/>
      <c r="O199" s="7"/>
    </row>
    <row r="200" spans="1:15" ht="75" customHeight="1" x14ac:dyDescent="0.3">
      <c r="A200" s="62" t="s">
        <v>179</v>
      </c>
      <c r="B200" s="63" t="s">
        <v>387</v>
      </c>
      <c r="C200" s="64"/>
      <c r="D200" s="69">
        <v>1</v>
      </c>
      <c r="E200" s="68">
        <v>3327</v>
      </c>
      <c r="F200" s="65">
        <f>ROUND(E200*(1-$F$9),9)</f>
        <v>2994.3</v>
      </c>
      <c r="G200" s="38">
        <v>0</v>
      </c>
      <c r="H200" s="39">
        <f>F200*G200</f>
        <v>0</v>
      </c>
      <c r="I200" s="22">
        <f>17*G200</f>
        <v>0</v>
      </c>
      <c r="J200" s="18">
        <f>0.045*G200</f>
        <v>0</v>
      </c>
      <c r="K200" s="61"/>
      <c r="L200" s="61"/>
      <c r="M200" s="7"/>
      <c r="N200" s="7"/>
      <c r="O200" s="7"/>
    </row>
    <row r="201" spans="1:15" ht="80.25" customHeight="1" x14ac:dyDescent="0.3">
      <c r="A201" s="62" t="s">
        <v>180</v>
      </c>
      <c r="B201" s="63" t="s">
        <v>388</v>
      </c>
      <c r="C201" s="64"/>
      <c r="D201" s="69">
        <v>1</v>
      </c>
      <c r="E201" s="68">
        <v>3672</v>
      </c>
      <c r="F201" s="65">
        <f>ROUND(E201*(1-$F$9),9)</f>
        <v>3304.8</v>
      </c>
      <c r="G201" s="38">
        <v>0</v>
      </c>
      <c r="H201" s="39">
        <f>F201*G201</f>
        <v>0</v>
      </c>
      <c r="I201" s="22">
        <f>19*G201</f>
        <v>0</v>
      </c>
      <c r="J201" s="18">
        <f>0.068*G201</f>
        <v>0</v>
      </c>
      <c r="K201" s="61"/>
      <c r="L201" s="61"/>
      <c r="M201" s="7"/>
      <c r="N201" s="7"/>
      <c r="O201" s="7"/>
    </row>
    <row r="202" spans="1:15" ht="70.5" customHeight="1" x14ac:dyDescent="0.3">
      <c r="A202" s="62" t="s">
        <v>181</v>
      </c>
      <c r="B202" s="63" t="s">
        <v>389</v>
      </c>
      <c r="C202" s="64"/>
      <c r="D202" s="69">
        <v>1</v>
      </c>
      <c r="E202" s="68">
        <v>3672</v>
      </c>
      <c r="F202" s="65">
        <f>ROUND(E202*(1-$F$9),9)</f>
        <v>3304.8</v>
      </c>
      <c r="G202" s="38">
        <v>0</v>
      </c>
      <c r="H202" s="39">
        <f>F202*G202</f>
        <v>0</v>
      </c>
      <c r="I202" s="22">
        <f t="shared" ref="I202:I203" si="15">19*G202</f>
        <v>0</v>
      </c>
      <c r="J202" s="18">
        <f t="shared" ref="J202:J203" si="16">0.068*G202</f>
        <v>0</v>
      </c>
      <c r="K202" s="61"/>
      <c r="L202" s="61"/>
      <c r="M202" s="7"/>
      <c r="N202" s="7"/>
      <c r="O202" s="7"/>
    </row>
    <row r="203" spans="1:15" ht="69.75" customHeight="1" x14ac:dyDescent="0.3">
      <c r="A203" s="62" t="s">
        <v>182</v>
      </c>
      <c r="B203" s="63" t="s">
        <v>390</v>
      </c>
      <c r="C203" s="64"/>
      <c r="D203" s="69">
        <v>1</v>
      </c>
      <c r="E203" s="68">
        <v>3672</v>
      </c>
      <c r="F203" s="65">
        <f>ROUND(E203*(1-$F$9),9)</f>
        <v>3304.8</v>
      </c>
      <c r="G203" s="38">
        <v>0</v>
      </c>
      <c r="H203" s="39">
        <f>F203*G203</f>
        <v>0</v>
      </c>
      <c r="I203" s="22">
        <f t="shared" si="15"/>
        <v>0</v>
      </c>
      <c r="J203" s="18">
        <f t="shared" si="16"/>
        <v>0</v>
      </c>
      <c r="K203" s="61"/>
      <c r="L203" s="61"/>
      <c r="M203" s="7"/>
      <c r="N203" s="7"/>
      <c r="O203" s="7"/>
    </row>
    <row r="204" spans="1:15" ht="81.75" customHeight="1" x14ac:dyDescent="0.3">
      <c r="A204" s="62" t="s">
        <v>183</v>
      </c>
      <c r="B204" s="63" t="s">
        <v>428</v>
      </c>
      <c r="C204" s="64"/>
      <c r="D204" s="69">
        <v>1</v>
      </c>
      <c r="E204" s="68">
        <v>5298</v>
      </c>
      <c r="F204" s="65">
        <f>ROUND(E204*(1-$F$9),9)</f>
        <v>4768.2</v>
      </c>
      <c r="G204" s="38">
        <v>0</v>
      </c>
      <c r="H204" s="39">
        <f>F204*G204</f>
        <v>0</v>
      </c>
      <c r="I204" s="22">
        <f>14*G204</f>
        <v>0</v>
      </c>
      <c r="J204" s="18">
        <f>0.0368*G204</f>
        <v>0</v>
      </c>
      <c r="K204" s="61"/>
      <c r="L204" s="61"/>
      <c r="M204" s="7"/>
      <c r="N204" s="7"/>
      <c r="O204" s="7"/>
    </row>
    <row r="205" spans="1:15" ht="74.25" customHeight="1" x14ac:dyDescent="0.3">
      <c r="A205" s="62" t="s">
        <v>184</v>
      </c>
      <c r="B205" s="63" t="s">
        <v>391</v>
      </c>
      <c r="C205" s="64"/>
      <c r="D205" s="69">
        <v>1</v>
      </c>
      <c r="E205" s="68">
        <v>4189</v>
      </c>
      <c r="F205" s="65">
        <f>ROUND(E205*(1-$F$9),9)</f>
        <v>3770.1</v>
      </c>
      <c r="G205" s="38">
        <v>0</v>
      </c>
      <c r="H205" s="39">
        <f>F205*G205</f>
        <v>0</v>
      </c>
      <c r="I205" s="22">
        <f>24*G205</f>
        <v>0</v>
      </c>
      <c r="J205" s="18">
        <f>0.061*G205</f>
        <v>0</v>
      </c>
      <c r="K205" s="61"/>
      <c r="L205" s="61"/>
      <c r="M205" s="7"/>
      <c r="N205" s="7"/>
      <c r="O205" s="7"/>
    </row>
    <row r="206" spans="1:15" ht="75" customHeight="1" x14ac:dyDescent="0.3">
      <c r="A206" s="62" t="s">
        <v>185</v>
      </c>
      <c r="B206" s="63" t="s">
        <v>392</v>
      </c>
      <c r="C206" s="64"/>
      <c r="D206" s="69">
        <v>1</v>
      </c>
      <c r="E206" s="68">
        <v>4189</v>
      </c>
      <c r="F206" s="65">
        <f>ROUND(E206*(1-$F$9),9)</f>
        <v>3770.1</v>
      </c>
      <c r="G206" s="38">
        <v>0</v>
      </c>
      <c r="H206" s="39">
        <f>F206*G206</f>
        <v>0</v>
      </c>
      <c r="I206" s="22">
        <f>24*G206</f>
        <v>0</v>
      </c>
      <c r="J206" s="18">
        <f>0.061*G206</f>
        <v>0</v>
      </c>
      <c r="K206" s="61"/>
      <c r="L206" s="61"/>
      <c r="M206" s="7"/>
      <c r="N206" s="7"/>
      <c r="O206" s="7"/>
    </row>
    <row r="207" spans="1:15" ht="73.5" customHeight="1" x14ac:dyDescent="0.3">
      <c r="A207" s="62" t="s">
        <v>186</v>
      </c>
      <c r="B207" s="63" t="s">
        <v>393</v>
      </c>
      <c r="C207" s="64"/>
      <c r="D207" s="69">
        <v>1</v>
      </c>
      <c r="E207" s="68">
        <v>5298</v>
      </c>
      <c r="F207" s="65">
        <f>ROUND(E207*(1-$F$9),9)</f>
        <v>4768.2</v>
      </c>
      <c r="G207" s="38">
        <v>0</v>
      </c>
      <c r="H207" s="39">
        <f>F207*G207</f>
        <v>0</v>
      </c>
      <c r="I207" s="22">
        <f>14*G207</f>
        <v>0</v>
      </c>
      <c r="J207" s="18">
        <f>0.0368*G207</f>
        <v>0</v>
      </c>
      <c r="K207" s="61"/>
      <c r="L207" s="61"/>
      <c r="M207" s="7"/>
      <c r="N207" s="7"/>
      <c r="O207" s="7"/>
    </row>
    <row r="208" spans="1:15" ht="76.5" customHeight="1" x14ac:dyDescent="0.3">
      <c r="A208" s="62" t="s">
        <v>187</v>
      </c>
      <c r="B208" s="63" t="s">
        <v>394</v>
      </c>
      <c r="C208" s="64"/>
      <c r="D208" s="69">
        <v>1</v>
      </c>
      <c r="E208" s="68">
        <v>5298</v>
      </c>
      <c r="F208" s="65">
        <f>ROUND(E208*(1-$F$9),9)</f>
        <v>4768.2</v>
      </c>
      <c r="G208" s="38">
        <v>0</v>
      </c>
      <c r="H208" s="39">
        <f>F208*G208</f>
        <v>0</v>
      </c>
      <c r="I208" s="22">
        <f t="shared" ref="I208:I213" si="17">14*G208</f>
        <v>0</v>
      </c>
      <c r="J208" s="18">
        <f t="shared" ref="J208:J213" si="18">0.0368*G208</f>
        <v>0</v>
      </c>
      <c r="K208" s="61"/>
      <c r="L208" s="61"/>
      <c r="M208" s="7"/>
      <c r="N208" s="7"/>
      <c r="O208" s="7"/>
    </row>
    <row r="209" spans="1:15" ht="81.75" customHeight="1" x14ac:dyDescent="0.3">
      <c r="A209" s="62" t="s">
        <v>188</v>
      </c>
      <c r="B209" s="63" t="s">
        <v>395</v>
      </c>
      <c r="C209" s="64"/>
      <c r="D209" s="69">
        <v>1</v>
      </c>
      <c r="E209" s="68">
        <v>5298</v>
      </c>
      <c r="F209" s="65">
        <f>ROUND(E209*(1-$F$9),9)</f>
        <v>4768.2</v>
      </c>
      <c r="G209" s="38">
        <v>0</v>
      </c>
      <c r="H209" s="39">
        <f>F209*G209</f>
        <v>0</v>
      </c>
      <c r="I209" s="22">
        <f t="shared" si="17"/>
        <v>0</v>
      </c>
      <c r="J209" s="18">
        <f t="shared" si="18"/>
        <v>0</v>
      </c>
      <c r="K209" s="61"/>
      <c r="L209" s="61"/>
      <c r="M209" s="7"/>
      <c r="N209" s="7"/>
      <c r="O209" s="7"/>
    </row>
    <row r="210" spans="1:15" ht="78" customHeight="1" x14ac:dyDescent="0.3">
      <c r="A210" s="62" t="s">
        <v>189</v>
      </c>
      <c r="B210" s="63" t="s">
        <v>396</v>
      </c>
      <c r="C210" s="64"/>
      <c r="D210" s="69">
        <v>1</v>
      </c>
      <c r="E210" s="68">
        <v>5298</v>
      </c>
      <c r="F210" s="65">
        <f>ROUND(E210*(1-$F$9),9)</f>
        <v>4768.2</v>
      </c>
      <c r="G210" s="38">
        <v>0</v>
      </c>
      <c r="H210" s="39">
        <f>F210*G210</f>
        <v>0</v>
      </c>
      <c r="I210" s="22">
        <f t="shared" si="17"/>
        <v>0</v>
      </c>
      <c r="J210" s="18">
        <f t="shared" si="18"/>
        <v>0</v>
      </c>
      <c r="K210" s="61"/>
      <c r="L210" s="61"/>
      <c r="M210" s="7"/>
      <c r="N210" s="7"/>
      <c r="O210" s="7"/>
    </row>
    <row r="211" spans="1:15" ht="70.5" customHeight="1" x14ac:dyDescent="0.3">
      <c r="A211" s="62" t="s">
        <v>190</v>
      </c>
      <c r="B211" s="63" t="s">
        <v>397</v>
      </c>
      <c r="C211" s="64"/>
      <c r="D211" s="69">
        <v>1</v>
      </c>
      <c r="E211" s="68">
        <v>5298</v>
      </c>
      <c r="F211" s="65">
        <f>ROUND(E211*(1-$F$9),9)</f>
        <v>4768.2</v>
      </c>
      <c r="G211" s="38">
        <v>0</v>
      </c>
      <c r="H211" s="39">
        <f>F211*G211</f>
        <v>0</v>
      </c>
      <c r="I211" s="22">
        <f t="shared" si="17"/>
        <v>0</v>
      </c>
      <c r="J211" s="18">
        <f t="shared" si="18"/>
        <v>0</v>
      </c>
      <c r="K211" s="61"/>
      <c r="L211" s="61"/>
      <c r="M211" s="7"/>
      <c r="N211" s="7"/>
      <c r="O211" s="7"/>
    </row>
    <row r="212" spans="1:15" ht="69.75" customHeight="1" x14ac:dyDescent="0.3">
      <c r="A212" s="62" t="s">
        <v>191</v>
      </c>
      <c r="B212" s="63" t="s">
        <v>398</v>
      </c>
      <c r="C212" s="64"/>
      <c r="D212" s="69">
        <v>1</v>
      </c>
      <c r="E212" s="68">
        <v>5298</v>
      </c>
      <c r="F212" s="65">
        <f>ROUND(E212*(1-$F$9),9)</f>
        <v>4768.2</v>
      </c>
      <c r="G212" s="38">
        <v>0</v>
      </c>
      <c r="H212" s="39">
        <f>F212*G212</f>
        <v>0</v>
      </c>
      <c r="I212" s="22">
        <f t="shared" si="17"/>
        <v>0</v>
      </c>
      <c r="J212" s="18">
        <f t="shared" si="18"/>
        <v>0</v>
      </c>
      <c r="K212" s="61"/>
      <c r="L212" s="61"/>
      <c r="M212" s="7"/>
      <c r="N212" s="7"/>
      <c r="O212" s="7"/>
    </row>
    <row r="213" spans="1:15" ht="72.75" customHeight="1" x14ac:dyDescent="0.3">
      <c r="A213" s="62" t="s">
        <v>192</v>
      </c>
      <c r="B213" s="63" t="s">
        <v>399</v>
      </c>
      <c r="C213" s="64"/>
      <c r="D213" s="69">
        <v>1</v>
      </c>
      <c r="E213" s="68">
        <v>5298</v>
      </c>
      <c r="F213" s="65">
        <f>ROUND(E213*(1-$F$9),9)</f>
        <v>4768.2</v>
      </c>
      <c r="G213" s="38">
        <v>0</v>
      </c>
      <c r="H213" s="39">
        <f>F213*G213</f>
        <v>0</v>
      </c>
      <c r="I213" s="22">
        <f t="shared" si="17"/>
        <v>0</v>
      </c>
      <c r="J213" s="18">
        <f t="shared" si="18"/>
        <v>0</v>
      </c>
      <c r="K213" s="61"/>
      <c r="L213" s="61"/>
      <c r="M213" s="7"/>
      <c r="N213" s="7"/>
      <c r="O213" s="7"/>
    </row>
    <row r="214" spans="1:15" ht="78.75" customHeight="1" x14ac:dyDescent="0.3">
      <c r="A214" s="62" t="s">
        <v>193</v>
      </c>
      <c r="B214" s="63" t="s">
        <v>400</v>
      </c>
      <c r="C214" s="64"/>
      <c r="D214" s="69">
        <v>1</v>
      </c>
      <c r="E214" s="68">
        <v>4760</v>
      </c>
      <c r="F214" s="65">
        <f>ROUND(E214*(1-$F$9),9)</f>
        <v>4284</v>
      </c>
      <c r="G214" s="38">
        <v>0</v>
      </c>
      <c r="H214" s="39">
        <f>F214*G214</f>
        <v>0</v>
      </c>
      <c r="I214" s="22">
        <f>11*G214</f>
        <v>0</v>
      </c>
      <c r="J214" s="18">
        <f>0.042*G214</f>
        <v>0</v>
      </c>
      <c r="K214" s="61"/>
      <c r="L214" s="61"/>
      <c r="M214" s="7"/>
      <c r="N214" s="7"/>
      <c r="O214" s="7"/>
    </row>
    <row r="215" spans="1:15" ht="71.25" customHeight="1" x14ac:dyDescent="0.3">
      <c r="A215" s="62" t="s">
        <v>194</v>
      </c>
      <c r="B215" s="63" t="s">
        <v>401</v>
      </c>
      <c r="C215" s="64"/>
      <c r="D215" s="69">
        <v>1</v>
      </c>
      <c r="E215" s="68">
        <v>7700</v>
      </c>
      <c r="F215" s="65">
        <f>ROUND(E215*(1-$F$9),9)</f>
        <v>6930</v>
      </c>
      <c r="G215" s="38">
        <v>0</v>
      </c>
      <c r="H215" s="39">
        <f>F215*G215</f>
        <v>0</v>
      </c>
      <c r="I215" s="22">
        <f>20*G215</f>
        <v>0</v>
      </c>
      <c r="J215" s="18">
        <f>0.073*G215</f>
        <v>0</v>
      </c>
      <c r="K215" s="61"/>
      <c r="L215" s="61"/>
      <c r="M215" s="7"/>
      <c r="N215" s="7"/>
      <c r="O215" s="7"/>
    </row>
    <row r="216" spans="1:15" ht="68.25" customHeight="1" x14ac:dyDescent="0.3">
      <c r="A216" s="62" t="s">
        <v>195</v>
      </c>
      <c r="B216" s="63" t="s">
        <v>402</v>
      </c>
      <c r="C216" s="64"/>
      <c r="D216" s="69">
        <v>1</v>
      </c>
      <c r="E216" s="68">
        <v>7700</v>
      </c>
      <c r="F216" s="65">
        <f>ROUND(E216*(1-$F$9),9)</f>
        <v>6930</v>
      </c>
      <c r="G216" s="38">
        <v>0</v>
      </c>
      <c r="H216" s="39">
        <f>F216*G216</f>
        <v>0</v>
      </c>
      <c r="I216" s="22">
        <f>20*G216</f>
        <v>0</v>
      </c>
      <c r="J216" s="18">
        <f>0.0697*G216</f>
        <v>0</v>
      </c>
      <c r="K216" s="61"/>
      <c r="L216" s="61"/>
      <c r="M216" s="7"/>
      <c r="N216" s="7"/>
      <c r="O216" s="7"/>
    </row>
    <row r="217" spans="1:15" ht="68.25" customHeight="1" x14ac:dyDescent="0.3">
      <c r="A217" s="62" t="s">
        <v>196</v>
      </c>
      <c r="B217" s="63" t="s">
        <v>403</v>
      </c>
      <c r="C217" s="64"/>
      <c r="D217" s="69">
        <v>1</v>
      </c>
      <c r="E217" s="68">
        <v>10842</v>
      </c>
      <c r="F217" s="65">
        <f>ROUND(E217*(1-$F$9),9)</f>
        <v>9757.7999999999993</v>
      </c>
      <c r="G217" s="38">
        <v>0</v>
      </c>
      <c r="H217" s="39">
        <f>F217*G217</f>
        <v>0</v>
      </c>
      <c r="I217" s="22">
        <f>14.5*G217</f>
        <v>0</v>
      </c>
      <c r="J217" s="18">
        <f>0.037*G217</f>
        <v>0</v>
      </c>
      <c r="K217" s="61"/>
      <c r="L217" s="61"/>
      <c r="M217" s="7"/>
      <c r="N217" s="7"/>
      <c r="O217" s="7"/>
    </row>
    <row r="218" spans="1:15" ht="69.75" customHeight="1" x14ac:dyDescent="0.3">
      <c r="A218" s="62" t="s">
        <v>197</v>
      </c>
      <c r="B218" s="63" t="s">
        <v>404</v>
      </c>
      <c r="C218" s="64"/>
      <c r="D218" s="69">
        <v>1</v>
      </c>
      <c r="E218" s="68">
        <v>10842</v>
      </c>
      <c r="F218" s="65">
        <f>ROUND(E218*(1-$F$9),9)</f>
        <v>9757.7999999999993</v>
      </c>
      <c r="G218" s="38">
        <v>0</v>
      </c>
      <c r="H218" s="39">
        <f>F218*G218</f>
        <v>0</v>
      </c>
      <c r="I218" s="22">
        <f t="shared" ref="I218:I227" si="19">14.5*G218</f>
        <v>0</v>
      </c>
      <c r="J218" s="18">
        <f t="shared" ref="J218:J227" si="20">0.037*G218</f>
        <v>0</v>
      </c>
      <c r="K218" s="61"/>
      <c r="L218" s="61"/>
      <c r="M218" s="7"/>
      <c r="N218" s="7"/>
      <c r="O218" s="7"/>
    </row>
    <row r="219" spans="1:15" ht="69" customHeight="1" x14ac:dyDescent="0.3">
      <c r="A219" s="62" t="s">
        <v>198</v>
      </c>
      <c r="B219" s="63" t="s">
        <v>405</v>
      </c>
      <c r="C219" s="64"/>
      <c r="D219" s="69">
        <v>1</v>
      </c>
      <c r="E219" s="68">
        <v>10842</v>
      </c>
      <c r="F219" s="65">
        <f>ROUND(E219*(1-$F$9),9)</f>
        <v>9757.7999999999993</v>
      </c>
      <c r="G219" s="38">
        <v>0</v>
      </c>
      <c r="H219" s="39">
        <f>F219*G219</f>
        <v>0</v>
      </c>
      <c r="I219" s="22">
        <f t="shared" si="19"/>
        <v>0</v>
      </c>
      <c r="J219" s="18">
        <f t="shared" si="20"/>
        <v>0</v>
      </c>
      <c r="K219" s="61"/>
      <c r="L219" s="61"/>
      <c r="M219" s="7"/>
      <c r="N219" s="7"/>
      <c r="O219" s="7"/>
    </row>
    <row r="220" spans="1:15" ht="77.25" customHeight="1" x14ac:dyDescent="0.3">
      <c r="A220" s="62" t="s">
        <v>199</v>
      </c>
      <c r="B220" s="63" t="s">
        <v>406</v>
      </c>
      <c r="C220" s="64"/>
      <c r="D220" s="69">
        <v>1</v>
      </c>
      <c r="E220" s="68">
        <v>10842</v>
      </c>
      <c r="F220" s="65">
        <f>ROUND(E220*(1-$F$9),9)</f>
        <v>9757.7999999999993</v>
      </c>
      <c r="G220" s="38">
        <v>0</v>
      </c>
      <c r="H220" s="39">
        <f>F220*G220</f>
        <v>0</v>
      </c>
      <c r="I220" s="22">
        <f t="shared" si="19"/>
        <v>0</v>
      </c>
      <c r="J220" s="18">
        <f t="shared" si="20"/>
        <v>0</v>
      </c>
      <c r="K220" s="61"/>
      <c r="L220" s="61"/>
      <c r="M220" s="7"/>
      <c r="N220" s="7"/>
      <c r="O220" s="7"/>
    </row>
    <row r="221" spans="1:15" ht="70.5" customHeight="1" x14ac:dyDescent="0.3">
      <c r="A221" s="62" t="s">
        <v>200</v>
      </c>
      <c r="B221" s="63" t="s">
        <v>407</v>
      </c>
      <c r="C221" s="64"/>
      <c r="D221" s="69">
        <v>1</v>
      </c>
      <c r="E221" s="68">
        <v>10842</v>
      </c>
      <c r="F221" s="65">
        <f>ROUND(E221*(1-$F$9),9)</f>
        <v>9757.7999999999993</v>
      </c>
      <c r="G221" s="38">
        <v>0</v>
      </c>
      <c r="H221" s="39">
        <f>F221*G221</f>
        <v>0</v>
      </c>
      <c r="I221" s="22">
        <f t="shared" si="19"/>
        <v>0</v>
      </c>
      <c r="J221" s="18">
        <f t="shared" si="20"/>
        <v>0</v>
      </c>
      <c r="K221" s="61"/>
      <c r="L221" s="61"/>
      <c r="M221" s="7"/>
      <c r="N221" s="7"/>
      <c r="O221" s="7"/>
    </row>
    <row r="222" spans="1:15" ht="69" customHeight="1" x14ac:dyDescent="0.3">
      <c r="A222" s="62" t="s">
        <v>201</v>
      </c>
      <c r="B222" s="63" t="s">
        <v>408</v>
      </c>
      <c r="C222" s="64"/>
      <c r="D222" s="69">
        <v>1</v>
      </c>
      <c r="E222" s="68">
        <v>10842</v>
      </c>
      <c r="F222" s="65">
        <f>ROUND(E222*(1-$F$9),9)</f>
        <v>9757.7999999999993</v>
      </c>
      <c r="G222" s="38">
        <v>0</v>
      </c>
      <c r="H222" s="39">
        <f>F222*G222</f>
        <v>0</v>
      </c>
      <c r="I222" s="22">
        <f t="shared" si="19"/>
        <v>0</v>
      </c>
      <c r="J222" s="18">
        <f t="shared" si="20"/>
        <v>0</v>
      </c>
      <c r="K222" s="61"/>
      <c r="L222" s="61"/>
      <c r="M222" s="7"/>
      <c r="N222" s="7"/>
      <c r="O222" s="7"/>
    </row>
    <row r="223" spans="1:15" ht="63.75" customHeight="1" x14ac:dyDescent="0.3">
      <c r="A223" s="62" t="s">
        <v>202</v>
      </c>
      <c r="B223" s="63" t="s">
        <v>409</v>
      </c>
      <c r="C223" s="64"/>
      <c r="D223" s="69">
        <v>1</v>
      </c>
      <c r="E223" s="68">
        <v>10842</v>
      </c>
      <c r="F223" s="65">
        <f>ROUND(E223*(1-$F$9),9)</f>
        <v>9757.7999999999993</v>
      </c>
      <c r="G223" s="38">
        <v>0</v>
      </c>
      <c r="H223" s="39">
        <f>F223*G223</f>
        <v>0</v>
      </c>
      <c r="I223" s="22">
        <f t="shared" si="19"/>
        <v>0</v>
      </c>
      <c r="J223" s="18">
        <f t="shared" si="20"/>
        <v>0</v>
      </c>
      <c r="K223" s="61"/>
      <c r="L223" s="61"/>
      <c r="M223" s="7"/>
      <c r="N223" s="7"/>
      <c r="O223" s="7"/>
    </row>
    <row r="224" spans="1:15" ht="73.5" customHeight="1" x14ac:dyDescent="0.3">
      <c r="A224" s="62" t="s">
        <v>203</v>
      </c>
      <c r="B224" s="63" t="s">
        <v>410</v>
      </c>
      <c r="C224" s="64"/>
      <c r="D224" s="69">
        <v>1</v>
      </c>
      <c r="E224" s="68">
        <v>10842</v>
      </c>
      <c r="F224" s="65">
        <f>ROUND(E224*(1-$F$9),9)</f>
        <v>9757.7999999999993</v>
      </c>
      <c r="G224" s="38">
        <v>0</v>
      </c>
      <c r="H224" s="39">
        <f>F224*G224</f>
        <v>0</v>
      </c>
      <c r="I224" s="22">
        <f t="shared" si="19"/>
        <v>0</v>
      </c>
      <c r="J224" s="18">
        <f t="shared" si="20"/>
        <v>0</v>
      </c>
      <c r="K224" s="61"/>
      <c r="L224" s="61"/>
      <c r="M224" s="7"/>
      <c r="N224" s="7"/>
      <c r="O224" s="7"/>
    </row>
    <row r="225" spans="1:15" ht="68.25" customHeight="1" x14ac:dyDescent="0.3">
      <c r="A225" s="62" t="s">
        <v>204</v>
      </c>
      <c r="B225" s="63" t="s">
        <v>411</v>
      </c>
      <c r="C225" s="64"/>
      <c r="D225" s="69">
        <v>1</v>
      </c>
      <c r="E225" s="68">
        <v>10842</v>
      </c>
      <c r="F225" s="65">
        <f>ROUND(E225*(1-$F$9),9)</f>
        <v>9757.7999999999993</v>
      </c>
      <c r="G225" s="38">
        <v>0</v>
      </c>
      <c r="H225" s="39">
        <f>F225*G225</f>
        <v>0</v>
      </c>
      <c r="I225" s="22">
        <f t="shared" si="19"/>
        <v>0</v>
      </c>
      <c r="J225" s="18">
        <f t="shared" si="20"/>
        <v>0</v>
      </c>
      <c r="K225" s="61"/>
      <c r="L225" s="61"/>
      <c r="M225" s="7"/>
      <c r="N225" s="7"/>
      <c r="O225" s="7"/>
    </row>
    <row r="226" spans="1:15" ht="71.25" customHeight="1" x14ac:dyDescent="0.3">
      <c r="A226" s="62" t="s">
        <v>205</v>
      </c>
      <c r="B226" s="63" t="s">
        <v>412</v>
      </c>
      <c r="C226" s="64"/>
      <c r="D226" s="69">
        <v>1</v>
      </c>
      <c r="E226" s="68">
        <v>10842</v>
      </c>
      <c r="F226" s="65">
        <f>ROUND(E226*(1-$F$9),9)</f>
        <v>9757.7999999999993</v>
      </c>
      <c r="G226" s="38">
        <v>0</v>
      </c>
      <c r="H226" s="39">
        <f>F226*G226</f>
        <v>0</v>
      </c>
      <c r="I226" s="22">
        <f t="shared" si="19"/>
        <v>0</v>
      </c>
      <c r="J226" s="18">
        <f t="shared" si="20"/>
        <v>0</v>
      </c>
      <c r="K226" s="61"/>
      <c r="L226" s="61"/>
      <c r="M226" s="7"/>
      <c r="N226" s="7"/>
      <c r="O226" s="7"/>
    </row>
    <row r="227" spans="1:15" ht="69.75" customHeight="1" x14ac:dyDescent="0.3">
      <c r="A227" s="62" t="s">
        <v>206</v>
      </c>
      <c r="B227" s="63" t="s">
        <v>413</v>
      </c>
      <c r="C227" s="64"/>
      <c r="D227" s="69">
        <v>1</v>
      </c>
      <c r="E227" s="68">
        <v>10842</v>
      </c>
      <c r="F227" s="65">
        <f>ROUND(E227*(1-$F$9),9)</f>
        <v>9757.7999999999993</v>
      </c>
      <c r="G227" s="38">
        <v>0</v>
      </c>
      <c r="H227" s="39">
        <f>F227*G227</f>
        <v>0</v>
      </c>
      <c r="I227" s="22">
        <f t="shared" si="19"/>
        <v>0</v>
      </c>
      <c r="J227" s="18">
        <f t="shared" si="20"/>
        <v>0</v>
      </c>
      <c r="K227" s="61"/>
      <c r="L227" s="61"/>
      <c r="M227" s="7"/>
      <c r="N227" s="7"/>
      <c r="O227" s="7"/>
    </row>
    <row r="228" spans="1:15" ht="70.5" customHeight="1" x14ac:dyDescent="0.3">
      <c r="A228" s="62" t="s">
        <v>207</v>
      </c>
      <c r="B228" s="63" t="s">
        <v>414</v>
      </c>
      <c r="C228" s="64"/>
      <c r="D228" s="69">
        <v>1</v>
      </c>
      <c r="E228" s="68">
        <v>17864</v>
      </c>
      <c r="F228" s="65">
        <f>ROUND(E228*(1-$F$9),9)</f>
        <v>16077.6</v>
      </c>
      <c r="G228" s="38">
        <v>0</v>
      </c>
      <c r="H228" s="39">
        <f>F228*G228</f>
        <v>0</v>
      </c>
      <c r="I228" s="22">
        <f>23*G228</f>
        <v>0</v>
      </c>
      <c r="J228" s="18">
        <f>0.061*G228</f>
        <v>0</v>
      </c>
      <c r="K228" s="61"/>
      <c r="L228" s="61"/>
      <c r="M228" s="7"/>
      <c r="N228" s="7"/>
      <c r="O228" s="7"/>
    </row>
    <row r="229" spans="1:15" ht="75" customHeight="1" x14ac:dyDescent="0.3">
      <c r="A229" s="62" t="s">
        <v>208</v>
      </c>
      <c r="B229" s="63" t="s">
        <v>415</v>
      </c>
      <c r="C229" s="64"/>
      <c r="D229" s="69">
        <v>1</v>
      </c>
      <c r="E229" s="68">
        <v>19096</v>
      </c>
      <c r="F229" s="65">
        <f>ROUND(E229*(1-$F$9),9)</f>
        <v>17186.400000000001</v>
      </c>
      <c r="G229" s="38">
        <v>0</v>
      </c>
      <c r="H229" s="39">
        <f>F229*G229</f>
        <v>0</v>
      </c>
      <c r="I229" s="22">
        <f>19*G229</f>
        <v>0</v>
      </c>
      <c r="J229" s="18">
        <f>0.063*G229</f>
        <v>0</v>
      </c>
      <c r="K229" s="61"/>
      <c r="L229" s="61"/>
      <c r="M229" s="7"/>
      <c r="N229" s="7"/>
      <c r="O229" s="7"/>
    </row>
    <row r="230" spans="1:15" ht="70.5" customHeight="1" x14ac:dyDescent="0.3">
      <c r="A230" s="62" t="s">
        <v>209</v>
      </c>
      <c r="B230" s="63" t="s">
        <v>416</v>
      </c>
      <c r="C230" s="64"/>
      <c r="D230" s="69">
        <v>1</v>
      </c>
      <c r="E230" s="68">
        <v>27104</v>
      </c>
      <c r="F230" s="65">
        <f>ROUND(E230*(1-$F$9),9)</f>
        <v>24393.599999999999</v>
      </c>
      <c r="G230" s="38">
        <v>0</v>
      </c>
      <c r="H230" s="39">
        <f>F230*G230</f>
        <v>0</v>
      </c>
      <c r="I230" s="22">
        <f>28*G230</f>
        <v>0</v>
      </c>
      <c r="J230" s="18">
        <f>0.091*G230</f>
        <v>0</v>
      </c>
      <c r="K230" s="61"/>
      <c r="L230" s="61"/>
      <c r="M230" s="7"/>
      <c r="N230" s="7"/>
      <c r="O230" s="7"/>
    </row>
    <row r="231" spans="1:15" ht="77.25" customHeight="1" x14ac:dyDescent="0.3">
      <c r="A231" s="62" t="s">
        <v>210</v>
      </c>
      <c r="B231" s="63" t="s">
        <v>417</v>
      </c>
      <c r="C231" s="64"/>
      <c r="D231" s="69">
        <v>1</v>
      </c>
      <c r="E231" s="68">
        <v>26488</v>
      </c>
      <c r="F231" s="65">
        <f>ROUND(E231*(1-$F$9),9)</f>
        <v>23839.200000000001</v>
      </c>
      <c r="G231" s="38">
        <v>0</v>
      </c>
      <c r="H231" s="39">
        <f>F231*G231</f>
        <v>0</v>
      </c>
      <c r="I231" s="22">
        <f>30*G231</f>
        <v>0</v>
      </c>
      <c r="J231" s="18">
        <f>0.084*G231</f>
        <v>0</v>
      </c>
      <c r="K231" s="61"/>
      <c r="L231" s="61"/>
      <c r="M231" s="7"/>
      <c r="N231" s="7"/>
      <c r="O231" s="7"/>
    </row>
    <row r="232" spans="1:15" ht="69.75" customHeight="1" x14ac:dyDescent="0.3">
      <c r="A232" s="62" t="s">
        <v>211</v>
      </c>
      <c r="B232" s="63" t="s">
        <v>418</v>
      </c>
      <c r="C232" s="64"/>
      <c r="D232" s="69">
        <v>1</v>
      </c>
      <c r="E232" s="68">
        <v>17864</v>
      </c>
      <c r="F232" s="65">
        <f>ROUND(E232*(1-$F$9),9)</f>
        <v>16077.6</v>
      </c>
      <c r="G232" s="38">
        <v>0</v>
      </c>
      <c r="H232" s="39">
        <f>F232*G232</f>
        <v>0</v>
      </c>
      <c r="I232" s="22">
        <f>23*G232</f>
        <v>0</v>
      </c>
      <c r="J232" s="18">
        <f>0.061*G232</f>
        <v>0</v>
      </c>
      <c r="K232" s="61"/>
      <c r="L232" s="61"/>
      <c r="M232" s="7"/>
      <c r="N232" s="7"/>
      <c r="O232" s="7"/>
    </row>
    <row r="233" spans="1:15" ht="78" customHeight="1" x14ac:dyDescent="0.3">
      <c r="A233" s="62" t="s">
        <v>212</v>
      </c>
      <c r="B233" s="63" t="s">
        <v>419</v>
      </c>
      <c r="C233" s="64"/>
      <c r="D233" s="69">
        <v>1</v>
      </c>
      <c r="E233" s="68">
        <v>17864</v>
      </c>
      <c r="F233" s="65">
        <f>ROUND(E233*(1-$F$9),9)</f>
        <v>16077.6</v>
      </c>
      <c r="G233" s="38">
        <v>0</v>
      </c>
      <c r="H233" s="39">
        <f>F233*G233</f>
        <v>0</v>
      </c>
      <c r="I233" s="22">
        <f>22*G233</f>
        <v>0</v>
      </c>
      <c r="J233" s="18">
        <f>0.056*G233</f>
        <v>0</v>
      </c>
      <c r="K233" s="61"/>
      <c r="L233" s="61"/>
      <c r="M233" s="7"/>
      <c r="N233" s="7"/>
      <c r="O233" s="7"/>
    </row>
    <row r="234" spans="1:15" ht="80.25" customHeight="1" x14ac:dyDescent="0.3">
      <c r="A234" s="62" t="s">
        <v>213</v>
      </c>
      <c r="B234" s="63" t="s">
        <v>420</v>
      </c>
      <c r="C234" s="64"/>
      <c r="D234" s="69">
        <v>1</v>
      </c>
      <c r="E234" s="68">
        <v>17864</v>
      </c>
      <c r="F234" s="65">
        <f>ROUND(E234*(1-$F$9),9)</f>
        <v>16077.6</v>
      </c>
      <c r="G234" s="38">
        <v>0</v>
      </c>
      <c r="H234" s="39">
        <f>F234*G234</f>
        <v>0</v>
      </c>
      <c r="I234" s="22">
        <f>23*G234</f>
        <v>0</v>
      </c>
      <c r="J234" s="18">
        <f>0.061*G234</f>
        <v>0</v>
      </c>
      <c r="K234" s="61"/>
      <c r="L234" s="61"/>
      <c r="M234" s="7"/>
      <c r="N234" s="7"/>
      <c r="O234" s="7"/>
    </row>
    <row r="235" spans="1:15" ht="109.5" customHeight="1" thickBot="1" x14ac:dyDescent="0.35">
      <c r="A235" s="71" t="s">
        <v>214</v>
      </c>
      <c r="B235" s="72" t="s">
        <v>421</v>
      </c>
      <c r="C235" s="73"/>
      <c r="D235" s="69">
        <v>1</v>
      </c>
      <c r="E235" s="68">
        <v>30184</v>
      </c>
      <c r="F235" s="65">
        <f>ROUND(E235*(1-$F$9),9)</f>
        <v>27165.599999999999</v>
      </c>
      <c r="G235" s="38">
        <v>0</v>
      </c>
      <c r="H235" s="39">
        <f>F235*G235</f>
        <v>0</v>
      </c>
      <c r="I235" s="22">
        <f>38*G235</f>
        <v>0</v>
      </c>
      <c r="J235" s="18">
        <f>0.104*G235</f>
        <v>0</v>
      </c>
      <c r="K235" s="61"/>
      <c r="L235" s="61"/>
      <c r="M235" s="7"/>
      <c r="N235" s="7"/>
      <c r="O235" s="7"/>
    </row>
    <row r="236" spans="1:15" ht="43.5" customHeight="1" x14ac:dyDescent="0.3">
      <c r="A236" s="50" t="s">
        <v>443</v>
      </c>
      <c r="B236" s="51"/>
      <c r="C236" s="51"/>
      <c r="D236" s="51"/>
      <c r="E236" s="51"/>
      <c r="F236" s="51"/>
      <c r="G236" s="16">
        <f>SUM(G113:G235)</f>
        <v>0</v>
      </c>
      <c r="H236" s="15">
        <f>SUM(H113:H235)</f>
        <v>0</v>
      </c>
      <c r="I236" s="19">
        <f>SUM(I113:I235)</f>
        <v>0</v>
      </c>
      <c r="J236" s="26">
        <f>SUM(J113:J235)</f>
        <v>0</v>
      </c>
      <c r="K236" s="7"/>
      <c r="L236" s="7"/>
      <c r="M236" s="7"/>
      <c r="N236" s="7"/>
      <c r="O236" s="7"/>
    </row>
    <row r="237" spans="1:15" ht="45.75" customHeight="1" x14ac:dyDescent="0.3">
      <c r="A237" s="45" t="s">
        <v>444</v>
      </c>
      <c r="B237" s="46"/>
      <c r="C237" s="46"/>
      <c r="D237" s="46"/>
      <c r="E237" s="46"/>
      <c r="F237" s="46"/>
      <c r="G237" s="37">
        <f>G38+G66+G111+G236</f>
        <v>0</v>
      </c>
      <c r="H237" s="39">
        <f>H38+H66+H111+H236</f>
        <v>0</v>
      </c>
      <c r="I237" s="27" t="e">
        <f>I38+I66+I111+I236+#REF!</f>
        <v>#REF!</v>
      </c>
      <c r="J237" s="34" t="e">
        <f>J38+J66+J111+J236+#REF!</f>
        <v>#REF!</v>
      </c>
      <c r="K237" s="7"/>
      <c r="L237" s="7"/>
      <c r="M237" s="7"/>
      <c r="N237" s="7"/>
      <c r="O237" s="7"/>
    </row>
    <row r="238" spans="1:15" x14ac:dyDescent="0.3">
      <c r="A238" s="9"/>
      <c r="B238" s="10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</row>
    <row r="239" spans="1:15" x14ac:dyDescent="0.3">
      <c r="A239" s="9"/>
      <c r="B239" s="10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</row>
    <row r="240" spans="1:15" x14ac:dyDescent="0.3">
      <c r="A240" s="9"/>
      <c r="B240" s="10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</row>
    <row r="241" spans="1:15" x14ac:dyDescent="0.3">
      <c r="A241" s="9"/>
      <c r="B241" s="10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</row>
    <row r="242" spans="1:15" x14ac:dyDescent="0.3">
      <c r="A242" s="9"/>
      <c r="B242" s="10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</row>
    <row r="243" spans="1:15" x14ac:dyDescent="0.3">
      <c r="A243" s="9"/>
      <c r="B243" s="10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</row>
    <row r="244" spans="1:15" x14ac:dyDescent="0.3">
      <c r="A244" s="9"/>
      <c r="B244" s="10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</row>
    <row r="245" spans="1:15" x14ac:dyDescent="0.3">
      <c r="A245" s="9"/>
      <c r="B245" s="10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</row>
    <row r="246" spans="1:15" x14ac:dyDescent="0.3">
      <c r="A246" s="9"/>
      <c r="B246" s="10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</row>
    <row r="247" spans="1:15" x14ac:dyDescent="0.3">
      <c r="A247" s="9"/>
      <c r="B247" s="10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</row>
    <row r="248" spans="1:15" x14ac:dyDescent="0.3">
      <c r="A248" s="9"/>
      <c r="B248" s="10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</row>
    <row r="249" spans="1:15" x14ac:dyDescent="0.3">
      <c r="A249" s="9"/>
      <c r="B249" s="10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</row>
    <row r="250" spans="1:15" x14ac:dyDescent="0.3">
      <c r="A250" s="9"/>
      <c r="B250" s="10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</row>
    <row r="251" spans="1:15" x14ac:dyDescent="0.3">
      <c r="A251" s="9"/>
      <c r="B251" s="10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</row>
    <row r="252" spans="1:15" x14ac:dyDescent="0.3">
      <c r="A252" s="9"/>
      <c r="B252" s="10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</row>
    <row r="253" spans="1:15" x14ac:dyDescent="0.3">
      <c r="A253" s="9"/>
      <c r="B253" s="10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</row>
    <row r="254" spans="1:15" x14ac:dyDescent="0.3">
      <c r="A254" s="9"/>
      <c r="B254" s="10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</row>
    <row r="255" spans="1:15" x14ac:dyDescent="0.3">
      <c r="A255" s="9"/>
      <c r="B255" s="10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</row>
    <row r="256" spans="1:15" x14ac:dyDescent="0.3">
      <c r="A256" s="9"/>
      <c r="B256" s="10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</row>
    <row r="257" spans="1:15" x14ac:dyDescent="0.3">
      <c r="A257" s="9"/>
      <c r="B257" s="10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</row>
    <row r="258" spans="1:15" x14ac:dyDescent="0.3">
      <c r="A258" s="9"/>
      <c r="B258" s="10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</row>
    <row r="259" spans="1:15" x14ac:dyDescent="0.3">
      <c r="A259" s="9"/>
      <c r="B259" s="10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</row>
    <row r="260" spans="1:15" x14ac:dyDescent="0.3">
      <c r="A260" s="9"/>
      <c r="B260" s="10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</row>
    <row r="261" spans="1:15" x14ac:dyDescent="0.3">
      <c r="A261" s="9"/>
      <c r="B261" s="10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</row>
    <row r="262" spans="1:15" x14ac:dyDescent="0.3">
      <c r="A262" s="9"/>
      <c r="B262" s="10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</row>
    <row r="263" spans="1:15" x14ac:dyDescent="0.3">
      <c r="A263" s="9"/>
      <c r="B263" s="10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</row>
    <row r="264" spans="1:15" x14ac:dyDescent="0.3">
      <c r="A264" s="9"/>
      <c r="B264" s="10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</row>
    <row r="265" spans="1:15" x14ac:dyDescent="0.3">
      <c r="A265" s="9"/>
      <c r="B265" s="10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</row>
    <row r="266" spans="1:15" x14ac:dyDescent="0.3">
      <c r="A266" s="9"/>
      <c r="B266" s="10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</row>
    <row r="267" spans="1:15" x14ac:dyDescent="0.3">
      <c r="A267" s="9"/>
      <c r="B267" s="10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</row>
    <row r="268" spans="1:15" x14ac:dyDescent="0.3">
      <c r="A268" s="9"/>
      <c r="B268" s="10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</row>
    <row r="269" spans="1:15" x14ac:dyDescent="0.3">
      <c r="A269" s="9"/>
      <c r="B269" s="10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</row>
    <row r="270" spans="1:15" x14ac:dyDescent="0.3">
      <c r="A270" s="9"/>
      <c r="B270" s="10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</row>
    <row r="271" spans="1:15" x14ac:dyDescent="0.3">
      <c r="A271" s="9"/>
      <c r="B271" s="10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</row>
    <row r="272" spans="1:15" x14ac:dyDescent="0.3">
      <c r="A272" s="9"/>
      <c r="B272" s="10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</row>
    <row r="273" spans="1:15" x14ac:dyDescent="0.3">
      <c r="A273" s="9"/>
      <c r="B273" s="10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</row>
    <row r="274" spans="1:15" x14ac:dyDescent="0.3">
      <c r="A274" s="9"/>
      <c r="B274" s="10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</row>
    <row r="275" spans="1:15" x14ac:dyDescent="0.3">
      <c r="A275" s="9"/>
      <c r="B275" s="10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</row>
    <row r="276" spans="1:15" x14ac:dyDescent="0.3">
      <c r="A276" s="9"/>
      <c r="B276" s="10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</row>
    <row r="277" spans="1:15" x14ac:dyDescent="0.3">
      <c r="A277" s="9"/>
      <c r="B277" s="10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</row>
    <row r="278" spans="1:15" x14ac:dyDescent="0.3">
      <c r="A278" s="9"/>
      <c r="B278" s="10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</row>
    <row r="279" spans="1:15" x14ac:dyDescent="0.3">
      <c r="A279" s="9"/>
      <c r="B279" s="10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</row>
    <row r="280" spans="1:15" x14ac:dyDescent="0.3">
      <c r="A280" s="9"/>
      <c r="B280" s="10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</row>
    <row r="281" spans="1:15" x14ac:dyDescent="0.3">
      <c r="A281" s="9"/>
      <c r="B281" s="10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</row>
    <row r="282" spans="1:15" x14ac:dyDescent="0.3">
      <c r="A282" s="9"/>
      <c r="B282" s="10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</row>
    <row r="283" spans="1:15" x14ac:dyDescent="0.3">
      <c r="A283" s="9"/>
      <c r="B283" s="10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</row>
    <row r="284" spans="1:15" x14ac:dyDescent="0.3">
      <c r="A284" s="9"/>
      <c r="B284" s="10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</row>
    <row r="285" spans="1:15" x14ac:dyDescent="0.3">
      <c r="A285" s="9"/>
      <c r="B285" s="10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</row>
    <row r="286" spans="1:15" x14ac:dyDescent="0.3">
      <c r="A286" s="9"/>
      <c r="B286" s="10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</row>
    <row r="287" spans="1:15" x14ac:dyDescent="0.3">
      <c r="A287" s="9"/>
      <c r="B287" s="10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</row>
    <row r="288" spans="1:15" x14ac:dyDescent="0.3">
      <c r="A288" s="9"/>
      <c r="B288" s="10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</row>
    <row r="289" spans="1:15" x14ac:dyDescent="0.3">
      <c r="A289" s="9"/>
      <c r="B289" s="10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</row>
    <row r="290" spans="1:15" x14ac:dyDescent="0.3">
      <c r="A290" s="9"/>
      <c r="B290" s="10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</row>
    <row r="291" spans="1:15" x14ac:dyDescent="0.3">
      <c r="A291" s="9"/>
      <c r="B291" s="10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</row>
    <row r="292" spans="1:15" x14ac:dyDescent="0.3">
      <c r="A292" s="9"/>
      <c r="B292" s="10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</row>
    <row r="293" spans="1:15" x14ac:dyDescent="0.3">
      <c r="A293" s="9"/>
      <c r="B293" s="10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</row>
    <row r="294" spans="1:15" x14ac:dyDescent="0.3">
      <c r="A294" s="9"/>
      <c r="B294" s="10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</row>
    <row r="295" spans="1:15" x14ac:dyDescent="0.3">
      <c r="A295" s="9"/>
      <c r="B295" s="10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</row>
    <row r="296" spans="1:15" x14ac:dyDescent="0.3">
      <c r="A296" s="9"/>
      <c r="B296" s="10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</row>
    <row r="297" spans="1:15" x14ac:dyDescent="0.3">
      <c r="A297" s="9"/>
      <c r="B297" s="10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</row>
    <row r="298" spans="1:15" x14ac:dyDescent="0.3">
      <c r="A298" s="9"/>
      <c r="B298" s="10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</row>
    <row r="299" spans="1:15" x14ac:dyDescent="0.3">
      <c r="A299" s="9"/>
      <c r="B299" s="10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</row>
    <row r="300" spans="1:15" x14ac:dyDescent="0.3">
      <c r="A300" s="9"/>
      <c r="B300" s="10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</row>
    <row r="301" spans="1:15" x14ac:dyDescent="0.3">
      <c r="A301" s="9"/>
      <c r="B301" s="10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</row>
    <row r="302" spans="1:15" x14ac:dyDescent="0.3">
      <c r="A302" s="9"/>
      <c r="B302" s="10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</row>
    <row r="303" spans="1:15" x14ac:dyDescent="0.3">
      <c r="A303" s="9"/>
      <c r="B303" s="10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</row>
    <row r="304" spans="1:15" x14ac:dyDescent="0.3">
      <c r="A304" s="9"/>
      <c r="B304" s="10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</row>
    <row r="305" spans="1:15" x14ac:dyDescent="0.3">
      <c r="A305" s="9"/>
      <c r="B305" s="10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</row>
    <row r="306" spans="1:15" x14ac:dyDescent="0.3">
      <c r="A306" s="9"/>
      <c r="B306" s="10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</row>
    <row r="307" spans="1:15" x14ac:dyDescent="0.3">
      <c r="A307" s="9"/>
      <c r="B307" s="10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</row>
    <row r="308" spans="1:15" x14ac:dyDescent="0.3">
      <c r="A308" s="9"/>
      <c r="B308" s="10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</row>
    <row r="309" spans="1:15" x14ac:dyDescent="0.3">
      <c r="A309" s="9"/>
      <c r="B309" s="10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</row>
    <row r="310" spans="1:15" x14ac:dyDescent="0.3">
      <c r="A310" s="9"/>
      <c r="B310" s="10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</row>
    <row r="311" spans="1:15" x14ac:dyDescent="0.3">
      <c r="A311" s="9"/>
      <c r="B311" s="10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</row>
    <row r="312" spans="1:15" x14ac:dyDescent="0.3">
      <c r="A312" s="9"/>
      <c r="B312" s="10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</row>
    <row r="313" spans="1:15" x14ac:dyDescent="0.3">
      <c r="A313" s="9"/>
      <c r="B313" s="10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</row>
    <row r="314" spans="1:15" x14ac:dyDescent="0.3">
      <c r="A314" s="9"/>
      <c r="B314" s="10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</row>
    <row r="315" spans="1:15" x14ac:dyDescent="0.3">
      <c r="A315" s="9"/>
      <c r="B315" s="10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</row>
    <row r="316" spans="1:15" x14ac:dyDescent="0.3">
      <c r="A316" s="9"/>
      <c r="B316" s="10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</row>
    <row r="317" spans="1:15" x14ac:dyDescent="0.3">
      <c r="A317" s="9"/>
      <c r="B317" s="10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</row>
    <row r="318" spans="1:15" x14ac:dyDescent="0.3">
      <c r="A318" s="9"/>
      <c r="B318" s="10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</row>
    <row r="319" spans="1:15" x14ac:dyDescent="0.3">
      <c r="A319" s="9"/>
      <c r="B319" s="10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15" x14ac:dyDescent="0.3">
      <c r="A320" s="9"/>
      <c r="B320" s="10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x14ac:dyDescent="0.3">
      <c r="A321" s="9"/>
      <c r="B321" s="10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</row>
    <row r="322" spans="1:15" x14ac:dyDescent="0.3">
      <c r="A322" s="9"/>
      <c r="B322" s="10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</row>
    <row r="323" spans="1:15" x14ac:dyDescent="0.3">
      <c r="A323" s="9"/>
      <c r="B323" s="10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</row>
    <row r="324" spans="1:15" x14ac:dyDescent="0.3">
      <c r="A324" s="9"/>
      <c r="B324" s="10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</row>
    <row r="325" spans="1:15" x14ac:dyDescent="0.3">
      <c r="A325" s="9"/>
      <c r="B325" s="10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</row>
    <row r="326" spans="1:15" x14ac:dyDescent="0.3">
      <c r="A326" s="9"/>
      <c r="B326" s="10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</row>
    <row r="327" spans="1:15" x14ac:dyDescent="0.3">
      <c r="A327" s="9"/>
      <c r="B327" s="10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</row>
    <row r="328" spans="1:15" x14ac:dyDescent="0.3">
      <c r="A328" s="9"/>
      <c r="B328" s="10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</row>
    <row r="329" spans="1:15" x14ac:dyDescent="0.3">
      <c r="A329" s="9"/>
      <c r="B329" s="10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</row>
    <row r="330" spans="1:15" x14ac:dyDescent="0.3">
      <c r="A330" s="9"/>
      <c r="B330" s="10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</row>
    <row r="331" spans="1:15" x14ac:dyDescent="0.3">
      <c r="A331" s="9"/>
      <c r="B331" s="10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</row>
    <row r="332" spans="1:15" x14ac:dyDescent="0.3">
      <c r="A332" s="9"/>
      <c r="B332" s="10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</row>
    <row r="333" spans="1:15" x14ac:dyDescent="0.3">
      <c r="A333" s="9"/>
      <c r="B333" s="10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</row>
    <row r="334" spans="1:15" x14ac:dyDescent="0.3">
      <c r="A334" s="9"/>
      <c r="B334" s="10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</row>
    <row r="335" spans="1:15" x14ac:dyDescent="0.3">
      <c r="A335" s="9"/>
      <c r="B335" s="10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</row>
    <row r="336" spans="1:15" x14ac:dyDescent="0.3">
      <c r="A336" s="9"/>
      <c r="B336" s="10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</row>
    <row r="337" spans="1:15" x14ac:dyDescent="0.3">
      <c r="A337" s="9"/>
      <c r="B337" s="10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</row>
    <row r="338" spans="1:15" x14ac:dyDescent="0.3">
      <c r="A338" s="9"/>
      <c r="B338" s="10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</row>
    <row r="339" spans="1:15" x14ac:dyDescent="0.3">
      <c r="A339" s="9"/>
      <c r="B339" s="10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</row>
    <row r="340" spans="1:15" x14ac:dyDescent="0.3">
      <c r="A340" s="9"/>
      <c r="B340" s="10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</row>
    <row r="341" spans="1:15" x14ac:dyDescent="0.3">
      <c r="A341" s="9"/>
      <c r="B341" s="10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</row>
    <row r="342" spans="1:15" x14ac:dyDescent="0.3">
      <c r="A342" s="9"/>
      <c r="B342" s="10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</row>
    <row r="343" spans="1:15" x14ac:dyDescent="0.3">
      <c r="A343" s="9"/>
      <c r="B343" s="10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</row>
    <row r="344" spans="1:15" x14ac:dyDescent="0.3">
      <c r="A344" s="9"/>
      <c r="B344" s="10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</row>
    <row r="345" spans="1:15" x14ac:dyDescent="0.3">
      <c r="A345" s="9"/>
      <c r="B345" s="10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</row>
    <row r="346" spans="1:15" x14ac:dyDescent="0.3">
      <c r="A346" s="9"/>
      <c r="B346" s="10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</row>
    <row r="347" spans="1:15" x14ac:dyDescent="0.3">
      <c r="A347" s="9"/>
      <c r="B347" s="10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</row>
    <row r="348" spans="1:15" x14ac:dyDescent="0.3">
      <c r="A348" s="9"/>
      <c r="B348" s="10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</row>
    <row r="349" spans="1:15" x14ac:dyDescent="0.3">
      <c r="A349" s="9"/>
      <c r="B349" s="10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</row>
    <row r="350" spans="1:15" x14ac:dyDescent="0.3">
      <c r="A350" s="9"/>
      <c r="B350" s="10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</row>
    <row r="351" spans="1:15" x14ac:dyDescent="0.3">
      <c r="A351" s="9"/>
      <c r="B351" s="10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</row>
    <row r="352" spans="1:15" x14ac:dyDescent="0.3">
      <c r="A352" s="9"/>
      <c r="B352" s="10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</row>
    <row r="353" spans="1:15" x14ac:dyDescent="0.3">
      <c r="A353" s="9"/>
      <c r="B353" s="10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</row>
    <row r="354" spans="1:15" x14ac:dyDescent="0.3">
      <c r="A354" s="9"/>
      <c r="B354" s="10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</row>
    <row r="355" spans="1:15" x14ac:dyDescent="0.3">
      <c r="A355" s="9"/>
      <c r="B355" s="10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</row>
    <row r="356" spans="1:15" x14ac:dyDescent="0.3">
      <c r="A356" s="9"/>
      <c r="B356" s="10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</row>
    <row r="357" spans="1:15" x14ac:dyDescent="0.3">
      <c r="A357" s="9"/>
      <c r="B357" s="10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</row>
    <row r="358" spans="1:15" x14ac:dyDescent="0.3">
      <c r="A358" s="9"/>
      <c r="B358" s="10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</row>
    <row r="359" spans="1:15" x14ac:dyDescent="0.3">
      <c r="A359" s="9"/>
      <c r="B359" s="10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</row>
    <row r="360" spans="1:15" x14ac:dyDescent="0.3">
      <c r="A360" s="9"/>
      <c r="B360" s="10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</row>
    <row r="361" spans="1:15" x14ac:dyDescent="0.3">
      <c r="A361" s="9"/>
      <c r="B361" s="10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</row>
    <row r="362" spans="1:15" x14ac:dyDescent="0.3">
      <c r="A362" s="9"/>
      <c r="B362" s="10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</row>
    <row r="363" spans="1:15" x14ac:dyDescent="0.3">
      <c r="A363" s="9"/>
      <c r="B363" s="10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</row>
    <row r="364" spans="1:15" x14ac:dyDescent="0.3">
      <c r="A364" s="9"/>
      <c r="B364" s="10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</row>
    <row r="365" spans="1:15" x14ac:dyDescent="0.3">
      <c r="A365" s="9"/>
      <c r="B365" s="10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</row>
    <row r="366" spans="1:15" x14ac:dyDescent="0.3">
      <c r="A366" s="9"/>
      <c r="B366" s="10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</row>
    <row r="367" spans="1:15" x14ac:dyDescent="0.3">
      <c r="A367" s="9"/>
      <c r="B367" s="10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</row>
    <row r="368" spans="1:15" x14ac:dyDescent="0.3">
      <c r="A368" s="9"/>
      <c r="B368" s="10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</row>
    <row r="369" spans="1:15" x14ac:dyDescent="0.3">
      <c r="A369" s="9"/>
      <c r="B369" s="10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</row>
    <row r="370" spans="1:15" x14ac:dyDescent="0.3">
      <c r="A370" s="9"/>
      <c r="B370" s="10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</row>
    <row r="371" spans="1:15" x14ac:dyDescent="0.3">
      <c r="A371" s="9"/>
      <c r="B371" s="10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</row>
    <row r="372" spans="1:15" x14ac:dyDescent="0.3">
      <c r="A372" s="9"/>
      <c r="B372" s="10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</row>
    <row r="373" spans="1:15" x14ac:dyDescent="0.3">
      <c r="A373" s="9"/>
      <c r="B373" s="10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</row>
    <row r="374" spans="1:15" x14ac:dyDescent="0.3">
      <c r="A374" s="9"/>
      <c r="B374" s="10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</row>
    <row r="375" spans="1:15" x14ac:dyDescent="0.3">
      <c r="I375" s="7"/>
      <c r="J375" s="7"/>
      <c r="K375" s="7"/>
      <c r="L375" s="7"/>
      <c r="M375" s="7"/>
      <c r="N375" s="7"/>
      <c r="O375" s="7"/>
    </row>
    <row r="376" spans="1:15" x14ac:dyDescent="0.3">
      <c r="I376" s="7"/>
      <c r="J376" s="7"/>
      <c r="K376" s="7"/>
      <c r="L376" s="7"/>
      <c r="M376" s="7"/>
      <c r="N376" s="7"/>
      <c r="O376" s="7"/>
    </row>
  </sheetData>
  <mergeCells count="18">
    <mergeCell ref="G6:H8"/>
    <mergeCell ref="A1:B1"/>
    <mergeCell ref="A6:F8"/>
    <mergeCell ref="A3:D3"/>
    <mergeCell ref="A5:D5"/>
    <mergeCell ref="A38:F38"/>
    <mergeCell ref="A237:F237"/>
    <mergeCell ref="A10:J10"/>
    <mergeCell ref="A20:J20"/>
    <mergeCell ref="A39:J39"/>
    <mergeCell ref="A47:J47"/>
    <mergeCell ref="A54:J54"/>
    <mergeCell ref="A67:J67"/>
    <mergeCell ref="A107:J107"/>
    <mergeCell ref="A112:J112"/>
    <mergeCell ref="A111:F111"/>
    <mergeCell ref="A236:F236"/>
    <mergeCell ref="A66:F66"/>
  </mergeCells>
  <hyperlinks>
    <hyperlink ref="A1" r:id="rId1"/>
    <hyperlink ref="C1" r:id="rId2"/>
  </hyperlinks>
  <pageMargins left="0.7" right="0.7" top="0.75" bottom="0.75" header="0.3" footer="0.3"/>
  <pageSetup paperSize="9"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3"/>
  <sheetViews>
    <sheetView topLeftCell="A19" workbookViewId="0">
      <selection activeCell="B4" sqref="B4:C12"/>
    </sheetView>
  </sheetViews>
  <sheetFormatPr defaultRowHeight="14.4" x14ac:dyDescent="0.3"/>
  <cols>
    <col min="3" max="3" width="8.88671875" customWidth="1"/>
  </cols>
  <sheetData>
    <row r="3" spans="2:11" x14ac:dyDescent="0.3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2:1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2:1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2:11" x14ac:dyDescent="0.3"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2:1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x14ac:dyDescent="0.3"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2:1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2:11" x14ac:dyDescent="0.3"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2:11" x14ac:dyDescent="0.3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3"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2:11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2:11" x14ac:dyDescent="0.3"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2:11" x14ac:dyDescent="0.3"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2:11" x14ac:dyDescent="0.3"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2:11" x14ac:dyDescent="0.3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2:11" x14ac:dyDescent="0.3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2:11" x14ac:dyDescent="0.3"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2:11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2:11" x14ac:dyDescent="0.3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2:11" x14ac:dyDescent="0.3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2:11" x14ac:dyDescent="0.3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2:11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2:11" x14ac:dyDescent="0.3"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2:11" x14ac:dyDescent="0.3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2:11" x14ac:dyDescent="0.3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2:11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x14ac:dyDescent="0.3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x14ac:dyDescent="0.3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3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Клиент-Банк</dc:creator>
  <cp:lastModifiedBy>Windows User</cp:lastModifiedBy>
  <dcterms:created xsi:type="dcterms:W3CDTF">2018-01-17T14:28:09Z</dcterms:created>
  <dcterms:modified xsi:type="dcterms:W3CDTF">2019-11-10T20:20:16Z</dcterms:modified>
</cp:coreProperties>
</file>