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codeName="ЭтаКнига" defaultThemeVersion="124226"/>
  <bookViews>
    <workbookView xWindow="-120" yWindow="-120" windowWidth="19440" windowHeight="11160"/>
  </bookViews>
  <sheets>
    <sheet name="Прайс" sheetId="6" r:id="rId1"/>
  </sheets>
  <definedNames>
    <definedName name="_xlnm.Print_Titles" localSheetId="0">Прайс!$11:$11</definedName>
  </definedNames>
  <calcPr calcId="145621"/>
</workbook>
</file>

<file path=xl/calcChain.xml><?xml version="1.0" encoding="utf-8"?>
<calcChain xmlns="http://schemas.openxmlformats.org/spreadsheetml/2006/main">
  <c r="M66" i="6" l="1"/>
  <c r="M67" i="6"/>
  <c r="M68" i="6"/>
  <c r="M69" i="6"/>
  <c r="M65" i="6"/>
  <c r="K66" i="6"/>
  <c r="K67" i="6"/>
  <c r="K68" i="6"/>
  <c r="K69" i="6"/>
  <c r="K65" i="6"/>
  <c r="I66" i="6"/>
  <c r="I67" i="6"/>
  <c r="I68" i="6"/>
  <c r="I69" i="6"/>
  <c r="I65" i="6"/>
  <c r="G66" i="6"/>
  <c r="G67" i="6"/>
  <c r="G68" i="6"/>
  <c r="G69" i="6"/>
  <c r="G65" i="6"/>
  <c r="M14" i="6" l="1"/>
  <c r="M15" i="6"/>
  <c r="M16" i="6"/>
  <c r="M17" i="6"/>
  <c r="M18" i="6"/>
  <c r="M19" i="6"/>
  <c r="M20" i="6"/>
  <c r="M21" i="6"/>
  <c r="M22" i="6"/>
  <c r="M23" i="6"/>
  <c r="M24" i="6"/>
  <c r="M25" i="6"/>
  <c r="M26" i="6"/>
  <c r="M27" i="6"/>
  <c r="M28" i="6"/>
  <c r="M29" i="6"/>
  <c r="M30" i="6"/>
  <c r="M31" i="6"/>
  <c r="M32" i="6"/>
  <c r="M34" i="6"/>
  <c r="M35" i="6"/>
  <c r="M36" i="6"/>
  <c r="M37" i="6"/>
  <c r="M38" i="6"/>
  <c r="M39" i="6"/>
  <c r="M40" i="6"/>
  <c r="M41" i="6"/>
  <c r="M43" i="6"/>
  <c r="M44" i="6"/>
  <c r="M45" i="6"/>
  <c r="M46" i="6"/>
  <c r="M47" i="6"/>
  <c r="M48" i="6"/>
  <c r="M49" i="6"/>
  <c r="M50" i="6"/>
  <c r="M52" i="6"/>
  <c r="M53" i="6"/>
  <c r="M54" i="6"/>
  <c r="M55" i="6"/>
  <c r="M56" i="6"/>
  <c r="M57" i="6"/>
  <c r="M59" i="6"/>
  <c r="M60" i="6"/>
  <c r="M61" i="6"/>
  <c r="M62" i="6"/>
  <c r="M63" i="6"/>
  <c r="M13" i="6"/>
  <c r="K15" i="6"/>
  <c r="K17" i="6"/>
  <c r="K19" i="6"/>
  <c r="K21" i="6"/>
  <c r="K23" i="6"/>
  <c r="K25" i="6"/>
  <c r="K27" i="6"/>
  <c r="K29" i="6"/>
  <c r="K31" i="6"/>
  <c r="K34" i="6"/>
  <c r="K36" i="6"/>
  <c r="K38" i="6"/>
  <c r="K40" i="6"/>
  <c r="K43" i="6"/>
  <c r="K45" i="6"/>
  <c r="K47" i="6"/>
  <c r="K49" i="6"/>
  <c r="K52" i="6"/>
  <c r="K54" i="6"/>
  <c r="K56" i="6"/>
  <c r="K59" i="6"/>
  <c r="K60" i="6"/>
  <c r="K61" i="6"/>
  <c r="K62" i="6"/>
  <c r="K63" i="6"/>
  <c r="K13" i="6"/>
  <c r="L57" i="6"/>
  <c r="K57" i="6" s="1"/>
  <c r="L55" i="6"/>
  <c r="K55" i="6" s="1"/>
  <c r="L53" i="6"/>
  <c r="K53" i="6" s="1"/>
  <c r="L50" i="6"/>
  <c r="K50" i="6" s="1"/>
  <c r="L48" i="6"/>
  <c r="K48" i="6" s="1"/>
  <c r="L46" i="6"/>
  <c r="K46" i="6" s="1"/>
  <c r="L44" i="6"/>
  <c r="K44" i="6" s="1"/>
  <c r="L41" i="6"/>
  <c r="K41" i="6" s="1"/>
  <c r="L39" i="6"/>
  <c r="K39" i="6" s="1"/>
  <c r="L37" i="6"/>
  <c r="K37" i="6" s="1"/>
  <c r="L35" i="6"/>
  <c r="K35" i="6" s="1"/>
  <c r="L32" i="6"/>
  <c r="K32" i="6" s="1"/>
  <c r="L30" i="6"/>
  <c r="K30" i="6" s="1"/>
  <c r="L28" i="6"/>
  <c r="K28" i="6" s="1"/>
  <c r="L26" i="6"/>
  <c r="K26" i="6" s="1"/>
  <c r="L24" i="6"/>
  <c r="K24" i="6" s="1"/>
  <c r="L22" i="6"/>
  <c r="K22" i="6" s="1"/>
  <c r="L20" i="6"/>
  <c r="K20" i="6" s="1"/>
  <c r="L18" i="6"/>
  <c r="K18" i="6" s="1"/>
  <c r="L16" i="6"/>
  <c r="K16" i="6" s="1"/>
  <c r="L14" i="6"/>
  <c r="K14" i="6" s="1"/>
  <c r="J57" i="6"/>
  <c r="I57" i="6" s="1"/>
  <c r="J55" i="6"/>
  <c r="I55" i="6" s="1"/>
  <c r="J53" i="6"/>
  <c r="I53" i="6" s="1"/>
  <c r="J50" i="6"/>
  <c r="I50" i="6" s="1"/>
  <c r="J48" i="6"/>
  <c r="I48" i="6" s="1"/>
  <c r="J46" i="6"/>
  <c r="I46" i="6" s="1"/>
  <c r="J44" i="6"/>
  <c r="I44" i="6" s="1"/>
  <c r="J41" i="6"/>
  <c r="I41" i="6" s="1"/>
  <c r="J39" i="6"/>
  <c r="J37" i="6"/>
  <c r="I37" i="6" s="1"/>
  <c r="J35" i="6"/>
  <c r="I35" i="6" s="1"/>
  <c r="J32" i="6"/>
  <c r="I32" i="6" s="1"/>
  <c r="J30" i="6"/>
  <c r="I30" i="6" s="1"/>
  <c r="J28" i="6"/>
  <c r="I28" i="6" s="1"/>
  <c r="J26" i="6"/>
  <c r="I26" i="6" s="1"/>
  <c r="J24" i="6"/>
  <c r="I24" i="6" s="1"/>
  <c r="J22" i="6"/>
  <c r="I22" i="6" s="1"/>
  <c r="J20" i="6"/>
  <c r="I20" i="6" s="1"/>
  <c r="J18" i="6"/>
  <c r="I18" i="6" s="1"/>
  <c r="J16" i="6"/>
  <c r="I16" i="6" s="1"/>
  <c r="J14" i="6"/>
  <c r="I14" i="6" s="1"/>
  <c r="H57" i="6"/>
  <c r="H55" i="6"/>
  <c r="G55" i="6" s="1"/>
  <c r="H53" i="6"/>
  <c r="G53" i="6" s="1"/>
  <c r="H50" i="6"/>
  <c r="G50" i="6" s="1"/>
  <c r="H48" i="6"/>
  <c r="G48" i="6" s="1"/>
  <c r="H46" i="6"/>
  <c r="G46" i="6" s="1"/>
  <c r="H44" i="6"/>
  <c r="G44" i="6" s="1"/>
  <c r="H41" i="6"/>
  <c r="G41" i="6" s="1"/>
  <c r="H39" i="6"/>
  <c r="G39" i="6" s="1"/>
  <c r="H37" i="6"/>
  <c r="G37" i="6" s="1"/>
  <c r="H35" i="6"/>
  <c r="G35" i="6" s="1"/>
  <c r="H32" i="6"/>
  <c r="G32" i="6" s="1"/>
  <c r="H30" i="6"/>
  <c r="G30" i="6" s="1"/>
  <c r="H28" i="6"/>
  <c r="G28" i="6" s="1"/>
  <c r="H26" i="6"/>
  <c r="G26" i="6" s="1"/>
  <c r="H24" i="6"/>
  <c r="G24" i="6" s="1"/>
  <c r="H22" i="6"/>
  <c r="G22" i="6" s="1"/>
  <c r="H20" i="6"/>
  <c r="G20" i="6" s="1"/>
  <c r="H18" i="6"/>
  <c r="G18" i="6" s="1"/>
  <c r="H16" i="6"/>
  <c r="G16" i="6" s="1"/>
  <c r="H14" i="6"/>
  <c r="G14" i="6" s="1"/>
  <c r="I39" i="6"/>
  <c r="I59" i="6"/>
  <c r="I60" i="6"/>
  <c r="I61" i="6"/>
  <c r="I62" i="6"/>
  <c r="I63" i="6"/>
  <c r="G15" i="6"/>
  <c r="G17" i="6"/>
  <c r="G19" i="6"/>
  <c r="G21" i="6"/>
  <c r="G23" i="6"/>
  <c r="G25" i="6"/>
  <c r="G27" i="6"/>
  <c r="G29" i="6"/>
  <c r="G31" i="6"/>
  <c r="G34" i="6"/>
  <c r="G36" i="6"/>
  <c r="G38" i="6"/>
  <c r="G40" i="6"/>
  <c r="G43" i="6"/>
  <c r="G45" i="6"/>
  <c r="G47" i="6"/>
  <c r="G49" i="6"/>
  <c r="G52" i="6"/>
  <c r="G54" i="6"/>
  <c r="G56" i="6"/>
  <c r="G59" i="6"/>
  <c r="G60" i="6"/>
  <c r="G61" i="6"/>
  <c r="G62" i="6"/>
  <c r="G63" i="6"/>
  <c r="G13" i="6"/>
  <c r="G57" i="6" l="1"/>
  <c r="J49" i="6"/>
  <c r="I49" i="6" s="1"/>
  <c r="J47" i="6"/>
  <c r="I47" i="6" s="1"/>
  <c r="J45" i="6"/>
  <c r="I45" i="6" s="1"/>
  <c r="J43" i="6"/>
  <c r="I43" i="6" s="1"/>
  <c r="J40" i="6"/>
  <c r="I40" i="6" s="1"/>
  <c r="J38" i="6"/>
  <c r="I38" i="6" s="1"/>
  <c r="J36" i="6"/>
  <c r="I36" i="6" s="1"/>
  <c r="J34" i="6"/>
  <c r="I34" i="6" s="1"/>
  <c r="J31" i="6"/>
  <c r="I31" i="6" s="1"/>
  <c r="J29" i="6"/>
  <c r="I29" i="6" s="1"/>
  <c r="J27" i="6"/>
  <c r="I27" i="6" s="1"/>
  <c r="J25" i="6"/>
  <c r="I25" i="6" s="1"/>
  <c r="J23" i="6"/>
  <c r="I23" i="6" s="1"/>
  <c r="J21" i="6"/>
  <c r="I21" i="6" s="1"/>
  <c r="J19" i="6"/>
  <c r="I19" i="6" s="1"/>
  <c r="J17" i="6"/>
  <c r="I17" i="6" s="1"/>
  <c r="J15" i="6"/>
  <c r="I15" i="6" s="1"/>
  <c r="J13" i="6"/>
  <c r="I13" i="6" s="1"/>
  <c r="J56" i="6"/>
  <c r="I56" i="6" s="1"/>
  <c r="J54" i="6"/>
  <c r="I54" i="6" s="1"/>
  <c r="J52" i="6"/>
  <c r="I52" i="6" s="1"/>
</calcChain>
</file>

<file path=xl/sharedStrings.xml><?xml version="1.0" encoding="utf-8"?>
<sst xmlns="http://schemas.openxmlformats.org/spreadsheetml/2006/main" count="186" uniqueCount="60">
  <si>
    <t>Наименования</t>
  </si>
  <si>
    <t>Масса/объем ед.</t>
  </si>
  <si>
    <t>Кол-во ед. в коробке</t>
  </si>
  <si>
    <t>Вид инд. упаковки</t>
  </si>
  <si>
    <t>Мягкая карамель на свекловичном (белом) сахаре с натуральными сливками</t>
  </si>
  <si>
    <t>Сливочная карамель "Creamy"</t>
  </si>
  <si>
    <t>Карамель "Wallnut" с грецким орехом</t>
  </si>
  <si>
    <t>Карамель "Nutty power" с арахисом</t>
  </si>
  <si>
    <t>Ягодная карамель "Wild berries" (клубника и ежевика)</t>
  </si>
  <si>
    <t>Карамель с ананасом и кокосом</t>
  </si>
  <si>
    <t>Цитрусовая карамель "velvet mandarin"</t>
  </si>
  <si>
    <t>Карамель "Cedar nut" с кедровым орехом</t>
  </si>
  <si>
    <t>Карамель "Premium creamy" на сливках с какао</t>
  </si>
  <si>
    <t>Карамель "Premium creamy" на сливках</t>
  </si>
  <si>
    <t>Карамель "Premium creamy" на сливках с малиной</t>
  </si>
  <si>
    <t>Карамель "Premium creamy" на сливках с фундуком</t>
  </si>
  <si>
    <t>Карамель с апельсином и облепихой "Premium citrus"</t>
  </si>
  <si>
    <t>Карамель "Premium citrus" глинтвейн</t>
  </si>
  <si>
    <t>Карамель "Premium citrus" с апельсином и перцем чили</t>
  </si>
  <si>
    <t>Карамель на миндальном молоке</t>
  </si>
  <si>
    <t>Карамель на миндальном молоке с какао</t>
  </si>
  <si>
    <t>Карамель на миндальном молоке с кокосом</t>
  </si>
  <si>
    <t>Абрикосова-грушейвый</t>
  </si>
  <si>
    <t>Сладкий миндаль</t>
  </si>
  <si>
    <t>Витаминный</t>
  </si>
  <si>
    <t>Брауни</t>
  </si>
  <si>
    <t>Вишня-фундук</t>
  </si>
  <si>
    <t>Мягкая карамель "PREMIUM" на тростниковом сахаре с натуральными сливками</t>
  </si>
  <si>
    <t>Мягкая карамель "PREMIUM CITRUS" на тростниковом сахаре и свежевыжатом соке</t>
  </si>
  <si>
    <t>Ореховые десерты VERJE БЕЗ содержания САХАРА</t>
  </si>
  <si>
    <t>ст. банка</t>
  </si>
  <si>
    <t>Штрихкод</t>
  </si>
  <si>
    <t>Кофейная карамель "Coffee cream"</t>
  </si>
  <si>
    <t>Карамель "Shocky nut" с лесным орехом и какао</t>
  </si>
  <si>
    <t>Карамель "Almond nut" с миндалем</t>
  </si>
  <si>
    <t>Карамель с клюквой и апельсином "Premium citrus"</t>
  </si>
  <si>
    <t>Цена за ед. руб.</t>
  </si>
  <si>
    <t>ООО "Горизонт"</t>
  </si>
  <si>
    <t xml:space="preserve">Юр.адрес: 610035 г.Киров ул. Потребкооперации д.17 </t>
  </si>
  <si>
    <t>Факт. Адрес/почтовый адрес: 610912 Кировская обл. г. Киров., пос. Дороничи, ул. Мира 1/1 (2 этаж)</t>
  </si>
  <si>
    <t xml:space="preserve">  ИНН 4345460599 КПП 434501001</t>
  </si>
  <si>
    <t>Мягкая карамель "PREMIUM ORGANIC MILK" на тростниковом сахаре и миндальном молоке</t>
  </si>
  <si>
    <t>Цена за коробку</t>
  </si>
  <si>
    <t>от 5000 руб</t>
  </si>
  <si>
    <t>от 20000 руб</t>
  </si>
  <si>
    <t>от 40000 руб</t>
  </si>
  <si>
    <t>от 70000 руб</t>
  </si>
  <si>
    <t>Розница</t>
  </si>
  <si>
    <r>
      <rPr>
        <sz val="36"/>
        <rFont val="Lucida Sans"/>
        <family val="2"/>
      </rPr>
      <t>ПРАЙС</t>
    </r>
    <r>
      <rPr>
        <sz val="16"/>
        <rFont val="Lucida Sans"/>
        <family val="2"/>
      </rPr>
      <t xml:space="preserve">
от 1 июля 2019 г.</t>
    </r>
  </si>
  <si>
    <t>Energy Balls конфеты "Брауни"</t>
  </si>
  <si>
    <t>80 гр</t>
  </si>
  <si>
    <t>стакан</t>
  </si>
  <si>
    <t>Energy Balls конфеты "Вишня"</t>
  </si>
  <si>
    <t>Energy Balls конфеты "Миндаль"</t>
  </si>
  <si>
    <t>Energy Balls конфеты "Витамин"</t>
  </si>
  <si>
    <t>Energy Balls конфеты "Абрикос-груша"</t>
  </si>
  <si>
    <t>Ореховые шарики "ENERGY BALLS"</t>
  </si>
  <si>
    <t>120 гр</t>
  </si>
  <si>
    <t>250 гр</t>
  </si>
  <si>
    <t>200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</si>
</sst>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_-* #,##0_р_._-;\-* #,##0_р_._-;_-* &quot;-&quot;??_р_._-;_-@_-"/>
    <numFmt numFmtId="166" formatCode="#,##0.00\ &quot;₽&quot;"/>
  </numFmts>
  <fonts count="15">
    <font>
      <sz val="10"/>
      <name val="Arial Cyr"/>
      <charset val="204"/>
    </font>
    <font>
      <sz val="10"/>
      <name val="Arial"/>
      <family val="2"/>
      <charset val="204"/>
    </font>
    <font>
      <sz val="10"/>
      <name val="Arial Cyr"/>
    </font>
    <font>
      <sz val="10"/>
      <name val="Lucida Sans"/>
      <family val="2"/>
    </font>
    <font>
      <sz val="12"/>
      <name val="Lucida Sans"/>
      <family val="2"/>
    </font>
    <font>
      <sz val="10"/>
      <name val="Arial Cyr"/>
      <charset val="204"/>
    </font>
    <font>
      <b/>
      <sz val="11"/>
      <name val="Lucida Sans"/>
      <family val="2"/>
    </font>
    <font>
      <sz val="11"/>
      <name val="Lucida Sans"/>
      <family val="2"/>
    </font>
    <font>
      <sz val="11"/>
      <color theme="1"/>
      <name val="Lucida Sans"/>
      <family val="2"/>
    </font>
    <font>
      <sz val="16"/>
      <name val="Lucida Sans"/>
      <family val="2"/>
    </font>
    <font>
      <sz val="36"/>
      <name val="Lucida Sans"/>
      <family val="2"/>
    </font>
    <font>
      <b/>
      <sz val="11"/>
      <name val="Arial"/>
      <family val="2"/>
      <charset val="204"/>
    </font>
    <font>
      <sz val="11"/>
      <color theme="1"/>
      <name val="Lucida Sans"/>
      <family val="2"/>
      <charset val="204"/>
    </font>
    <font>
      <b/>
      <sz val="12"/>
      <name val="Lucida Sans"/>
      <family val="2"/>
    </font>
    <font>
      <b/>
      <sz val="10"/>
      <name val="Lucida Sans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38" fontId="2" fillId="0" borderId="0" applyFont="0" applyFill="0" applyBorder="0" applyAlignment="0" applyProtection="0"/>
    <xf numFmtId="40" fontId="2" fillId="0" borderId="0" applyFont="0" applyFill="0" applyBorder="0" applyAlignment="0" applyProtection="0"/>
    <xf numFmtId="164" fontId="5" fillId="0" borderId="0" applyFont="0" applyFill="0" applyBorder="0" applyAlignment="0" applyProtection="0"/>
  </cellStyleXfs>
  <cellXfs count="112">
    <xf numFmtId="0" fontId="0" fillId="0" borderId="0" xfId="0"/>
    <xf numFmtId="0" fontId="7" fillId="0" borderId="0" xfId="0" applyFont="1" applyBorder="1" applyProtection="1">
      <protection hidden="1"/>
    </xf>
    <xf numFmtId="0" fontId="12" fillId="0" borderId="0" xfId="0" applyFont="1" applyBorder="1" applyProtection="1">
      <protection hidden="1"/>
    </xf>
    <xf numFmtId="0" fontId="7" fillId="0" borderId="7" xfId="0" applyFont="1" applyBorder="1" applyAlignment="1" applyProtection="1">
      <alignment vertical="center"/>
      <protection hidden="1"/>
    </xf>
    <xf numFmtId="0" fontId="7" fillId="0" borderId="0" xfId="0" applyFont="1" applyBorder="1" applyAlignment="1" applyProtection="1">
      <alignment vertical="center"/>
      <protection hidden="1"/>
    </xf>
    <xf numFmtId="0" fontId="7" fillId="0" borderId="11" xfId="0" applyFont="1" applyBorder="1" applyAlignment="1" applyProtection="1">
      <alignment vertical="center"/>
      <protection hidden="1"/>
    </xf>
    <xf numFmtId="0" fontId="11" fillId="0" borderId="14" xfId="0" applyFont="1" applyFill="1" applyBorder="1" applyAlignment="1" applyProtection="1">
      <alignment horizontal="center" vertic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12" fillId="0" borderId="0" xfId="0" applyFont="1" applyFill="1" applyBorder="1" applyAlignment="1" applyProtection="1">
      <alignment vertical="center"/>
      <protection hidden="1"/>
    </xf>
    <xf numFmtId="0" fontId="6" fillId="0" borderId="14" xfId="0" applyFont="1" applyBorder="1" applyAlignment="1" applyProtection="1">
      <alignment horizontal="center" vertical="center" wrapText="1"/>
      <protection hidden="1"/>
    </xf>
    <xf numFmtId="0" fontId="6" fillId="0" borderId="14" xfId="0" applyFont="1" applyBorder="1" applyAlignment="1" applyProtection="1">
      <alignment vertical="center" wrapText="1"/>
      <protection hidden="1"/>
    </xf>
    <xf numFmtId="0" fontId="6" fillId="0" borderId="0" xfId="0" applyFont="1" applyAlignment="1" applyProtection="1">
      <alignment horizontal="center"/>
      <protection hidden="1"/>
    </xf>
    <xf numFmtId="0" fontId="6" fillId="3" borderId="20" xfId="0" applyFont="1" applyFill="1" applyBorder="1" applyAlignment="1" applyProtection="1">
      <alignment horizontal="left" vertical="center" indent="5"/>
      <protection hidden="1"/>
    </xf>
    <xf numFmtId="0" fontId="6" fillId="3" borderId="25" xfId="0" applyFont="1" applyFill="1" applyBorder="1" applyAlignment="1" applyProtection="1">
      <alignment vertical="center"/>
      <protection hidden="1"/>
    </xf>
    <xf numFmtId="0" fontId="6" fillId="3" borderId="21" xfId="0" applyFont="1" applyFill="1" applyBorder="1" applyAlignment="1" applyProtection="1">
      <alignment vertical="center"/>
      <protection hidden="1"/>
    </xf>
    <xf numFmtId="0" fontId="7" fillId="2" borderId="22" xfId="0" applyFont="1" applyFill="1" applyBorder="1" applyAlignment="1" applyProtection="1">
      <alignment horizontal="left" vertical="center"/>
      <protection hidden="1"/>
    </xf>
    <xf numFmtId="0" fontId="7" fillId="2" borderId="24" xfId="0" applyFont="1" applyFill="1" applyBorder="1" applyAlignment="1" applyProtection="1">
      <alignment horizontal="center" vertical="center"/>
      <protection hidden="1"/>
    </xf>
    <xf numFmtId="0" fontId="7" fillId="2" borderId="26" xfId="0" applyFont="1" applyFill="1" applyBorder="1" applyAlignment="1" applyProtection="1">
      <alignment horizontal="center" vertical="center"/>
      <protection hidden="1"/>
    </xf>
    <xf numFmtId="2" fontId="6" fillId="2" borderId="33" xfId="0" applyNumberFormat="1" applyFont="1" applyFill="1" applyBorder="1" applyAlignment="1" applyProtection="1">
      <alignment horizontal="center" vertical="center"/>
      <protection hidden="1"/>
    </xf>
    <xf numFmtId="166" fontId="6" fillId="0" borderId="0" xfId="0" applyNumberFormat="1" applyFont="1" applyFill="1" applyBorder="1" applyAlignment="1" applyProtection="1">
      <alignment vertical="center" wrapText="1"/>
      <protection hidden="1"/>
    </xf>
    <xf numFmtId="0" fontId="7" fillId="4" borderId="4" xfId="0" applyFont="1" applyFill="1" applyBorder="1" applyAlignment="1" applyProtection="1">
      <alignment horizontal="left" vertical="center"/>
      <protection hidden="1"/>
    </xf>
    <xf numFmtId="0" fontId="7" fillId="4" borderId="3" xfId="0" applyFont="1" applyFill="1" applyBorder="1" applyAlignment="1" applyProtection="1">
      <alignment horizontal="center" vertical="center"/>
      <protection hidden="1"/>
    </xf>
    <xf numFmtId="0" fontId="7" fillId="4" borderId="2" xfId="0" applyFont="1" applyFill="1" applyBorder="1" applyAlignment="1" applyProtection="1">
      <alignment horizontal="center" vertical="center"/>
      <protection hidden="1"/>
    </xf>
    <xf numFmtId="2" fontId="6" fillId="4" borderId="23" xfId="0" applyNumberFormat="1" applyFont="1" applyFill="1" applyBorder="1" applyAlignment="1" applyProtection="1">
      <alignment horizontal="center" vertical="center"/>
      <protection hidden="1"/>
    </xf>
    <xf numFmtId="0" fontId="7" fillId="2" borderId="4" xfId="0" applyFont="1" applyFill="1" applyBorder="1" applyAlignment="1" applyProtection="1">
      <alignment horizontal="left" vertical="center"/>
      <protection hidden="1"/>
    </xf>
    <xf numFmtId="0" fontId="7" fillId="2" borderId="3" xfId="0" applyFont="1" applyFill="1" applyBorder="1" applyAlignment="1" applyProtection="1">
      <alignment horizontal="center" vertical="center"/>
      <protection hidden="1"/>
    </xf>
    <xf numFmtId="0" fontId="7" fillId="2" borderId="2" xfId="0" applyFont="1" applyFill="1" applyBorder="1" applyAlignment="1" applyProtection="1">
      <alignment horizontal="center" vertical="center"/>
      <protection hidden="1"/>
    </xf>
    <xf numFmtId="2" fontId="6" fillId="2" borderId="23" xfId="0" applyNumberFormat="1" applyFont="1" applyFill="1" applyBorder="1" applyAlignment="1" applyProtection="1">
      <alignment horizontal="center" vertical="center"/>
      <protection hidden="1"/>
    </xf>
    <xf numFmtId="2" fontId="6" fillId="4" borderId="5" xfId="0" applyNumberFormat="1" applyFont="1" applyFill="1" applyBorder="1" applyAlignment="1" applyProtection="1">
      <alignment horizontal="center" vertical="center"/>
      <protection hidden="1"/>
    </xf>
    <xf numFmtId="0" fontId="7" fillId="2" borderId="4" xfId="0" applyFont="1" applyFill="1" applyBorder="1" applyAlignment="1" applyProtection="1">
      <alignment horizontal="left"/>
      <protection hidden="1"/>
    </xf>
    <xf numFmtId="0" fontId="7" fillId="4" borderId="4" xfId="0" applyFont="1" applyFill="1" applyBorder="1" applyAlignment="1" applyProtection="1">
      <alignment horizontal="left"/>
      <protection hidden="1"/>
    </xf>
    <xf numFmtId="0" fontId="7" fillId="0" borderId="0" xfId="0" applyFont="1" applyProtection="1">
      <protection hidden="1"/>
    </xf>
    <xf numFmtId="0" fontId="7" fillId="4" borderId="28" xfId="0" applyFont="1" applyFill="1" applyBorder="1" applyAlignment="1" applyProtection="1">
      <alignment horizontal="left"/>
      <protection hidden="1"/>
    </xf>
    <xf numFmtId="0" fontId="7" fillId="4" borderId="31" xfId="0" applyFont="1" applyFill="1" applyBorder="1" applyAlignment="1" applyProtection="1">
      <alignment horizontal="center" vertical="center"/>
      <protection hidden="1"/>
    </xf>
    <xf numFmtId="0" fontId="7" fillId="4" borderId="29" xfId="0" applyFont="1" applyFill="1" applyBorder="1" applyAlignment="1" applyProtection="1">
      <alignment horizontal="center" vertical="center"/>
      <protection hidden="1"/>
    </xf>
    <xf numFmtId="2" fontId="6" fillId="3" borderId="25" xfId="0" applyNumberFormat="1" applyFont="1" applyFill="1" applyBorder="1" applyAlignment="1" applyProtection="1">
      <alignment vertical="center"/>
      <protection hidden="1"/>
    </xf>
    <xf numFmtId="0" fontId="7" fillId="2" borderId="22" xfId="0" applyFont="1" applyFill="1" applyBorder="1" applyAlignment="1" applyProtection="1">
      <alignment horizontal="left"/>
      <protection hidden="1"/>
    </xf>
    <xf numFmtId="2" fontId="6" fillId="4" borderId="34" xfId="0" applyNumberFormat="1" applyFont="1" applyFill="1" applyBorder="1" applyAlignment="1" applyProtection="1">
      <alignment horizontal="center" vertical="center"/>
      <protection hidden="1"/>
    </xf>
    <xf numFmtId="0" fontId="6" fillId="3" borderId="20" xfId="0" applyFont="1" applyFill="1" applyBorder="1" applyAlignment="1" applyProtection="1">
      <alignment horizontal="left" vertical="center" indent="10"/>
      <protection hidden="1"/>
    </xf>
    <xf numFmtId="2" fontId="6" fillId="3" borderId="21" xfId="0" applyNumberFormat="1" applyFont="1" applyFill="1" applyBorder="1" applyAlignment="1" applyProtection="1">
      <alignment vertical="center"/>
      <protection hidden="1"/>
    </xf>
    <xf numFmtId="0" fontId="6" fillId="3" borderId="25" xfId="0" applyFont="1" applyFill="1" applyBorder="1" applyAlignment="1" applyProtection="1">
      <alignment horizontal="left" vertical="center"/>
      <protection hidden="1"/>
    </xf>
    <xf numFmtId="0" fontId="12" fillId="0" borderId="0" xfId="0" applyFont="1" applyProtection="1">
      <protection hidden="1"/>
    </xf>
    <xf numFmtId="2" fontId="6" fillId="0" borderId="23" xfId="0" applyNumberFormat="1" applyFont="1" applyFill="1" applyBorder="1" applyAlignment="1" applyProtection="1">
      <alignment horizontal="center" vertical="center"/>
      <protection hidden="1"/>
    </xf>
    <xf numFmtId="0" fontId="7" fillId="0" borderId="28" xfId="0" applyFont="1" applyFill="1" applyBorder="1" applyAlignment="1" applyProtection="1">
      <alignment horizontal="left"/>
      <protection hidden="1"/>
    </xf>
    <xf numFmtId="0" fontId="7" fillId="0" borderId="31" xfId="0" applyFont="1" applyFill="1" applyBorder="1" applyAlignment="1" applyProtection="1">
      <alignment horizontal="center" vertical="center"/>
      <protection hidden="1"/>
    </xf>
    <xf numFmtId="0" fontId="7" fillId="0" borderId="29" xfId="0" applyFont="1" applyFill="1" applyBorder="1" applyAlignment="1" applyProtection="1">
      <alignment horizontal="center" vertical="center"/>
      <protection hidden="1"/>
    </xf>
    <xf numFmtId="0" fontId="13" fillId="3" borderId="25" xfId="0" applyFont="1" applyFill="1" applyBorder="1" applyAlignment="1" applyProtection="1">
      <alignment vertical="center"/>
      <protection hidden="1"/>
    </xf>
    <xf numFmtId="165" fontId="6" fillId="0" borderId="0" xfId="0" applyNumberFormat="1" applyFont="1" applyAlignment="1" applyProtection="1">
      <alignment horizontal="center"/>
      <protection hidden="1"/>
    </xf>
    <xf numFmtId="2" fontId="6" fillId="2" borderId="5" xfId="0" applyNumberFormat="1" applyFont="1" applyFill="1" applyBorder="1" applyAlignment="1" applyProtection="1">
      <alignment horizontal="center" vertical="center"/>
      <protection hidden="1"/>
    </xf>
    <xf numFmtId="0" fontId="7" fillId="2" borderId="18" xfId="0" applyFont="1" applyFill="1" applyBorder="1" applyAlignment="1" applyProtection="1">
      <alignment horizontal="left"/>
      <protection hidden="1"/>
    </xf>
    <xf numFmtId="0" fontId="7" fillId="2" borderId="15" xfId="0" applyFont="1" applyFill="1" applyBorder="1" applyAlignment="1" applyProtection="1">
      <alignment horizontal="center" vertical="center"/>
      <protection hidden="1"/>
    </xf>
    <xf numFmtId="0" fontId="7" fillId="2" borderId="19" xfId="0" applyFont="1" applyFill="1" applyBorder="1" applyAlignment="1" applyProtection="1">
      <alignment horizontal="center" vertical="center"/>
      <protection hidden="1"/>
    </xf>
    <xf numFmtId="2" fontId="6" fillId="2" borderId="19" xfId="0" applyNumberFormat="1" applyFont="1" applyFill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right"/>
      <protection hidden="1"/>
    </xf>
    <xf numFmtId="0" fontId="7" fillId="0" borderId="0" xfId="0" applyFont="1" applyFill="1" applyBorder="1" applyAlignment="1" applyProtection="1">
      <protection hidden="1"/>
    </xf>
    <xf numFmtId="0" fontId="7" fillId="0" borderId="0" xfId="0" applyFont="1" applyAlignment="1" applyProtection="1">
      <protection hidden="1"/>
    </xf>
    <xf numFmtId="0" fontId="6" fillId="3" borderId="25" xfId="0" applyFont="1" applyFill="1" applyBorder="1" applyAlignment="1" applyProtection="1">
      <alignment horizontal="center" vertical="center"/>
      <protection hidden="1"/>
    </xf>
    <xf numFmtId="0" fontId="13" fillId="3" borderId="14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3" fillId="3" borderId="25" xfId="0" applyFont="1" applyFill="1" applyBorder="1" applyAlignment="1">
      <alignment vertical="center"/>
    </xf>
    <xf numFmtId="0" fontId="14" fillId="3" borderId="25" xfId="0" applyFont="1" applyFill="1" applyBorder="1" applyAlignment="1">
      <alignment vertical="center"/>
    </xf>
    <xf numFmtId="2" fontId="13" fillId="3" borderId="22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/>
    </xf>
    <xf numFmtId="2" fontId="13" fillId="3" borderId="4" xfId="0" applyNumberFormat="1" applyFont="1" applyFill="1" applyBorder="1" applyAlignment="1">
      <alignment horizontal="center" vertical="center"/>
    </xf>
    <xf numFmtId="2" fontId="3" fillId="4" borderId="5" xfId="0" applyNumberFormat="1" applyFont="1" applyFill="1" applyBorder="1" applyAlignment="1">
      <alignment horizontal="center" vertical="center"/>
    </xf>
    <xf numFmtId="2" fontId="3" fillId="2" borderId="5" xfId="0" applyNumberFormat="1" applyFont="1" applyFill="1" applyBorder="1" applyAlignment="1">
      <alignment horizontal="center" vertical="center"/>
    </xf>
    <xf numFmtId="2" fontId="13" fillId="3" borderId="28" xfId="0" applyNumberFormat="1" applyFont="1" applyFill="1" applyBorder="1" applyAlignment="1">
      <alignment horizontal="center" vertical="center"/>
    </xf>
    <xf numFmtId="2" fontId="3" fillId="4" borderId="32" xfId="0" applyNumberFormat="1" applyFont="1" applyFill="1" applyBorder="1" applyAlignment="1">
      <alignment horizontal="center" vertical="center"/>
    </xf>
    <xf numFmtId="2" fontId="13" fillId="3" borderId="25" xfId="0" applyNumberFormat="1" applyFont="1" applyFill="1" applyBorder="1" applyAlignment="1">
      <alignment vertical="center"/>
    </xf>
    <xf numFmtId="2" fontId="14" fillId="3" borderId="25" xfId="0" applyNumberFormat="1" applyFont="1" applyFill="1" applyBorder="1" applyAlignment="1">
      <alignment vertical="center"/>
    </xf>
    <xf numFmtId="2" fontId="3" fillId="0" borderId="32" xfId="0" applyNumberFormat="1" applyFont="1" applyFill="1" applyBorder="1" applyAlignment="1">
      <alignment horizontal="center" vertical="center"/>
    </xf>
    <xf numFmtId="2" fontId="13" fillId="3" borderId="18" xfId="0" applyNumberFormat="1" applyFont="1" applyFill="1" applyBorder="1" applyAlignment="1">
      <alignment horizontal="center" vertical="center"/>
    </xf>
    <xf numFmtId="2" fontId="3" fillId="2" borderId="35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 applyProtection="1">
      <alignment horizontal="left" vertical="center"/>
      <protection hidden="1"/>
    </xf>
    <xf numFmtId="0" fontId="7" fillId="2" borderId="1" xfId="0" applyFont="1" applyFill="1" applyBorder="1" applyAlignment="1" applyProtection="1">
      <alignment horizontal="left" vertical="center"/>
      <protection hidden="1"/>
    </xf>
    <xf numFmtId="0" fontId="6" fillId="0" borderId="14" xfId="0" applyFont="1" applyBorder="1" applyAlignment="1" applyProtection="1">
      <alignment horizontal="center" vertical="center" wrapText="1"/>
      <protection hidden="1"/>
    </xf>
    <xf numFmtId="0" fontId="7" fillId="4" borderId="2" xfId="0" applyFont="1" applyFill="1" applyBorder="1" applyAlignment="1" applyProtection="1">
      <alignment horizontal="left" vertical="center"/>
      <protection hidden="1"/>
    </xf>
    <xf numFmtId="0" fontId="7" fillId="4" borderId="1" xfId="0" applyFont="1" applyFill="1" applyBorder="1" applyAlignment="1" applyProtection="1">
      <alignment horizontal="left" vertical="center"/>
      <protection hidden="1"/>
    </xf>
    <xf numFmtId="0" fontId="8" fillId="2" borderId="2" xfId="0" applyFont="1" applyFill="1" applyBorder="1" applyAlignment="1" applyProtection="1">
      <alignment horizontal="left" vertical="center"/>
      <protection hidden="1"/>
    </xf>
    <xf numFmtId="0" fontId="8" fillId="2" borderId="1" xfId="0" applyFont="1" applyFill="1" applyBorder="1" applyAlignment="1" applyProtection="1">
      <alignment horizontal="left" vertical="center"/>
      <protection hidden="1"/>
    </xf>
    <xf numFmtId="0" fontId="7" fillId="2" borderId="26" xfId="0" applyFont="1" applyFill="1" applyBorder="1" applyAlignment="1" applyProtection="1">
      <alignment horizontal="left" vertical="center"/>
      <protection hidden="1"/>
    </xf>
    <xf numFmtId="0" fontId="7" fillId="2" borderId="27" xfId="0" applyFont="1" applyFill="1" applyBorder="1" applyAlignment="1" applyProtection="1">
      <alignment horizontal="left" vertical="center"/>
      <protection hidden="1"/>
    </xf>
    <xf numFmtId="0" fontId="8" fillId="4" borderId="2" xfId="0" applyFont="1" applyFill="1" applyBorder="1" applyAlignment="1" applyProtection="1">
      <alignment horizontal="left" vertical="center"/>
      <protection hidden="1"/>
    </xf>
    <xf numFmtId="0" fontId="8" fillId="4" borderId="1" xfId="0" applyFont="1" applyFill="1" applyBorder="1" applyAlignment="1" applyProtection="1">
      <alignment horizontal="left" vertical="center"/>
      <protection hidden="1"/>
    </xf>
    <xf numFmtId="0" fontId="7" fillId="4" borderId="29" xfId="0" applyFont="1" applyFill="1" applyBorder="1" applyAlignment="1" applyProtection="1">
      <alignment horizontal="left" vertical="center"/>
      <protection hidden="1"/>
    </xf>
    <xf numFmtId="0" fontId="7" fillId="4" borderId="30" xfId="0" applyFont="1" applyFill="1" applyBorder="1" applyAlignment="1" applyProtection="1">
      <alignment horizontal="left" vertical="center"/>
      <protection hidden="1"/>
    </xf>
    <xf numFmtId="0" fontId="7" fillId="2" borderId="16" xfId="0" applyFont="1" applyFill="1" applyBorder="1" applyAlignment="1" applyProtection="1">
      <alignment horizontal="left" vertical="center"/>
      <protection hidden="1"/>
    </xf>
    <xf numFmtId="0" fontId="7" fillId="2" borderId="17" xfId="0" applyFont="1" applyFill="1" applyBorder="1" applyAlignment="1" applyProtection="1">
      <alignment horizontal="left" vertical="center"/>
      <protection hidden="1"/>
    </xf>
    <xf numFmtId="0" fontId="9" fillId="0" borderId="6" xfId="0" applyFont="1" applyBorder="1" applyAlignment="1" applyProtection="1">
      <alignment horizontal="center" vertical="center" wrapText="1"/>
      <protection hidden="1"/>
    </xf>
    <xf numFmtId="0" fontId="9" fillId="0" borderId="8" xfId="0" applyFont="1" applyBorder="1" applyAlignment="1" applyProtection="1">
      <alignment horizontal="center" vertical="center" wrapText="1"/>
      <protection hidden="1"/>
    </xf>
    <xf numFmtId="0" fontId="9" fillId="0" borderId="9" xfId="0" applyFont="1" applyBorder="1" applyAlignment="1" applyProtection="1">
      <alignment horizontal="center" vertical="center" wrapText="1"/>
      <protection hidden="1"/>
    </xf>
    <xf numFmtId="0" fontId="9" fillId="0" borderId="7" xfId="0" applyFont="1" applyBorder="1" applyAlignment="1" applyProtection="1">
      <alignment horizontal="center" vertical="center" wrapText="1"/>
      <protection hidden="1"/>
    </xf>
    <xf numFmtId="0" fontId="9" fillId="0" borderId="0" xfId="0" applyFont="1" applyBorder="1" applyAlignment="1" applyProtection="1">
      <alignment horizontal="center" vertical="center" wrapText="1"/>
      <protection hidden="1"/>
    </xf>
    <xf numFmtId="0" fontId="9" fillId="0" borderId="10" xfId="0" applyFont="1" applyBorder="1" applyAlignment="1" applyProtection="1">
      <alignment horizontal="center" vertical="center" wrapText="1"/>
      <protection hidden="1"/>
    </xf>
    <xf numFmtId="0" fontId="9" fillId="0" borderId="13" xfId="0" applyFont="1" applyBorder="1" applyAlignment="1" applyProtection="1">
      <alignment horizontal="center" vertical="center" wrapText="1"/>
      <protection hidden="1"/>
    </xf>
    <xf numFmtId="0" fontId="9" fillId="0" borderId="11" xfId="0" applyFont="1" applyBorder="1" applyAlignment="1" applyProtection="1">
      <alignment horizontal="center" vertical="center" wrapText="1"/>
      <protection hidden="1"/>
    </xf>
    <xf numFmtId="0" fontId="9" fillId="0" borderId="12" xfId="0" applyFont="1" applyBorder="1" applyAlignment="1" applyProtection="1">
      <alignment horizontal="center" vertical="center" wrapText="1"/>
      <protection hidden="1"/>
    </xf>
    <xf numFmtId="0" fontId="4" fillId="0" borderId="13" xfId="0" applyFont="1" applyBorder="1" applyAlignment="1" applyProtection="1">
      <alignment horizontal="center" vertical="center"/>
      <protection hidden="1"/>
    </xf>
    <xf numFmtId="0" fontId="4" fillId="0" borderId="11" xfId="0" applyFont="1" applyBorder="1" applyAlignment="1" applyProtection="1">
      <alignment horizontal="center" vertical="center"/>
      <protection hidden="1"/>
    </xf>
    <xf numFmtId="0" fontId="4" fillId="0" borderId="12" xfId="0" applyFont="1" applyBorder="1" applyAlignment="1" applyProtection="1">
      <alignment horizontal="center" vertical="center"/>
      <protection hidden="1"/>
    </xf>
    <xf numFmtId="0" fontId="4" fillId="0" borderId="7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10" xfId="0" applyFont="1" applyBorder="1" applyAlignment="1" applyProtection="1">
      <alignment horizontal="center" vertical="center"/>
      <protection hidden="1"/>
    </xf>
    <xf numFmtId="0" fontId="4" fillId="0" borderId="6" xfId="0" applyFont="1" applyBorder="1" applyAlignment="1" applyProtection="1">
      <alignment horizontal="center" vertical="center"/>
      <protection hidden="1"/>
    </xf>
    <xf numFmtId="0" fontId="4" fillId="0" borderId="8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/>
      <protection hidden="1"/>
    </xf>
    <xf numFmtId="0" fontId="7" fillId="0" borderId="14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7" fillId="0" borderId="29" xfId="0" applyFont="1" applyFill="1" applyBorder="1" applyAlignment="1" applyProtection="1">
      <alignment horizontal="left" vertical="center"/>
      <protection hidden="1"/>
    </xf>
    <xf numFmtId="0" fontId="7" fillId="0" borderId="30" xfId="0" applyFont="1" applyFill="1" applyBorder="1" applyAlignment="1" applyProtection="1">
      <alignment horizontal="left" vertical="center"/>
      <protection hidden="1"/>
    </xf>
  </cellXfs>
  <cellStyles count="5">
    <cellStyle name="Обычный" xfId="0" builtinId="0"/>
    <cellStyle name="Стиль 1" xfId="1"/>
    <cellStyle name="Тысячи [0]_notebook" xfId="2"/>
    <cellStyle name="Тысячи_notebook" xfId="3"/>
    <cellStyle name="Финансовый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BC003F"/>
      <rgbColor rgb="00969696"/>
      <rgbColor rgb="00003366"/>
      <rgbColor rgb="00339966"/>
      <rgbColor rgb="00003300"/>
      <rgbColor rgb="00333300"/>
      <rgbColor rgb="00993300"/>
      <rgbColor rgb="00993366"/>
      <rgbColor rgb="00FFC5D8"/>
      <rgbColor rgb="00FFE1EB"/>
    </indexedColors>
    <mruColors>
      <color rgb="FF006600"/>
      <color rgb="FF009900"/>
      <color rgb="FFFF6565"/>
      <color rgb="FFFB7A47"/>
      <color rgb="FF8BE1FF"/>
      <color rgb="FFA6FF79"/>
      <color rgb="FFBCFF9B"/>
      <color rgb="FF6EFF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435429</xdr:colOff>
      <xdr:row>0</xdr:row>
      <xdr:rowOff>234027</xdr:rowOff>
    </xdr:from>
    <xdr:to>
      <xdr:col>2</xdr:col>
      <xdr:colOff>174692</xdr:colOff>
      <xdr:row>4</xdr:row>
      <xdr:rowOff>81640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429" y="234027"/>
          <a:ext cx="1236049" cy="10450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Q242"/>
  <sheetViews>
    <sheetView tabSelected="1" zoomScale="70" zoomScaleNormal="70" zoomScaleSheetLayoutView="70" workbookViewId="0">
      <selection activeCell="M11" sqref="M11"/>
    </sheetView>
  </sheetViews>
  <sheetFormatPr defaultRowHeight="14.25" outlineLevelCol="1"/>
  <cols>
    <col min="1" max="1" width="9.5703125" style="53" customWidth="1"/>
    <col min="2" max="2" width="12.85546875" style="53" customWidth="1"/>
    <col min="3" max="3" width="39.5703125" style="53" customWidth="1"/>
    <col min="4" max="4" width="14.7109375" style="53" customWidth="1"/>
    <col min="5" max="5" width="14.7109375" style="54" customWidth="1" outlineLevel="1"/>
    <col min="6" max="6" width="9.7109375" style="54" customWidth="1" outlineLevel="1"/>
    <col min="7" max="8" width="14.7109375" style="31" customWidth="1" outlineLevel="1"/>
    <col min="9" max="9" width="14.7109375" style="55" customWidth="1"/>
    <col min="10" max="10" width="14.7109375" style="53" customWidth="1"/>
    <col min="11" max="13" width="14.7109375" style="31" customWidth="1"/>
    <col min="14" max="15" width="14.7109375" style="57" customWidth="1"/>
    <col min="16" max="16" width="10.7109375" style="31" customWidth="1"/>
    <col min="17" max="17" width="12.42578125" style="31" customWidth="1"/>
    <col min="18" max="16384" width="9.140625" style="31"/>
  </cols>
  <sheetData>
    <row r="1" spans="1:17" s="1" customFormat="1" ht="23.25" customHeight="1">
      <c r="A1" s="90" t="s">
        <v>48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2"/>
      <c r="Q1" s="2"/>
    </row>
    <row r="2" spans="1:17" s="1" customFormat="1" ht="23.25" customHeight="1">
      <c r="A2" s="93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5"/>
      <c r="Q2" s="2"/>
    </row>
    <row r="3" spans="1:17" s="1" customFormat="1" ht="23.25" customHeight="1">
      <c r="A3" s="93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5"/>
      <c r="Q3" s="2"/>
    </row>
    <row r="4" spans="1:17" s="1" customFormat="1" ht="23.25" customHeight="1">
      <c r="A4" s="93"/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5"/>
      <c r="Q4" s="2"/>
    </row>
    <row r="5" spans="1:17" s="1" customFormat="1" ht="23.25" customHeight="1">
      <c r="A5" s="96"/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8"/>
      <c r="Q5" s="2"/>
    </row>
    <row r="6" spans="1:17" s="1" customFormat="1" ht="20.100000000000001" customHeight="1">
      <c r="A6" s="105" t="s">
        <v>37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7"/>
      <c r="Q6" s="2"/>
    </row>
    <row r="7" spans="1:17" s="1" customFormat="1" ht="20.100000000000001" customHeight="1">
      <c r="A7" s="102" t="s">
        <v>38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4"/>
      <c r="Q7" s="2"/>
    </row>
    <row r="8" spans="1:17" s="1" customFormat="1" ht="20.100000000000001" customHeight="1">
      <c r="A8" s="102" t="s">
        <v>39</v>
      </c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4"/>
      <c r="Q8" s="2"/>
    </row>
    <row r="9" spans="1:17" s="1" customFormat="1" ht="20.100000000000001" customHeight="1">
      <c r="A9" s="99" t="s">
        <v>40</v>
      </c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1"/>
      <c r="Q9" s="2"/>
    </row>
    <row r="10" spans="1:17" s="1" customFormat="1" ht="20.100000000000001" customHeight="1">
      <c r="A10" s="3"/>
      <c r="B10" s="4"/>
      <c r="C10" s="4"/>
      <c r="D10" s="5"/>
      <c r="E10" s="4"/>
      <c r="F10" s="4"/>
      <c r="G10" s="108" t="s">
        <v>43</v>
      </c>
      <c r="H10" s="108"/>
      <c r="I10" s="108" t="s">
        <v>44</v>
      </c>
      <c r="J10" s="108"/>
      <c r="K10" s="108" t="s">
        <v>45</v>
      </c>
      <c r="L10" s="108"/>
      <c r="M10" s="108" t="s">
        <v>46</v>
      </c>
      <c r="N10" s="109"/>
      <c r="O10" s="6" t="s">
        <v>47</v>
      </c>
      <c r="P10" s="7"/>
      <c r="Q10" s="8"/>
    </row>
    <row r="11" spans="1:17" s="11" customFormat="1" ht="41.25" customHeight="1">
      <c r="A11" s="9" t="s">
        <v>31</v>
      </c>
      <c r="B11" s="77" t="s">
        <v>0</v>
      </c>
      <c r="C11" s="77"/>
      <c r="D11" s="10" t="s">
        <v>1</v>
      </c>
      <c r="E11" s="9" t="s">
        <v>3</v>
      </c>
      <c r="F11" s="9" t="s">
        <v>2</v>
      </c>
      <c r="G11" s="59" t="s">
        <v>42</v>
      </c>
      <c r="H11" s="60" t="s">
        <v>36</v>
      </c>
      <c r="I11" s="59" t="s">
        <v>42</v>
      </c>
      <c r="J11" s="60" t="s">
        <v>36</v>
      </c>
      <c r="K11" s="59" t="s">
        <v>42</v>
      </c>
      <c r="L11" s="60" t="s">
        <v>36</v>
      </c>
      <c r="M11" s="59" t="s">
        <v>42</v>
      </c>
      <c r="N11" s="60" t="s">
        <v>36</v>
      </c>
      <c r="O11" s="9" t="s">
        <v>36</v>
      </c>
    </row>
    <row r="12" spans="1:17" s="11" customFormat="1" ht="23.25" customHeight="1">
      <c r="A12" s="12"/>
      <c r="B12" s="13" t="s">
        <v>4</v>
      </c>
      <c r="C12" s="13"/>
      <c r="D12" s="13"/>
      <c r="E12" s="13"/>
      <c r="F12" s="13"/>
      <c r="G12" s="61"/>
      <c r="H12" s="62"/>
      <c r="I12" s="61"/>
      <c r="J12" s="62"/>
      <c r="K12" s="61"/>
      <c r="L12" s="62"/>
      <c r="M12" s="61"/>
      <c r="N12" s="62"/>
      <c r="O12" s="14"/>
    </row>
    <row r="13" spans="1:17" s="11" customFormat="1" ht="23.25" customHeight="1">
      <c r="A13" s="15"/>
      <c r="B13" s="82" t="s">
        <v>5</v>
      </c>
      <c r="C13" s="83"/>
      <c r="D13" s="16" t="s">
        <v>57</v>
      </c>
      <c r="E13" s="16" t="s">
        <v>30</v>
      </c>
      <c r="F13" s="17">
        <v>9</v>
      </c>
      <c r="G13" s="63">
        <f t="shared" ref="G13:G32" si="0">F13*H13</f>
        <v>956.69999999999993</v>
      </c>
      <c r="H13" s="64">
        <v>106.3</v>
      </c>
      <c r="I13" s="63">
        <f t="shared" ref="I13:I32" si="1">F13*J13</f>
        <v>877.14</v>
      </c>
      <c r="J13" s="64">
        <f>88.6+88.6*10%</f>
        <v>97.46</v>
      </c>
      <c r="K13" s="63">
        <f t="shared" ref="K13:K32" si="2">F13*L13</f>
        <v>797.4</v>
      </c>
      <c r="L13" s="64">
        <v>88.6</v>
      </c>
      <c r="M13" s="63">
        <f t="shared" ref="M13:M32" si="3">F13*N13</f>
        <v>720</v>
      </c>
      <c r="N13" s="64">
        <v>80</v>
      </c>
      <c r="O13" s="18">
        <v>181</v>
      </c>
      <c r="P13" s="19"/>
    </row>
    <row r="14" spans="1:17" s="11" customFormat="1" ht="23.25" customHeight="1">
      <c r="A14" s="20"/>
      <c r="B14" s="78" t="s">
        <v>5</v>
      </c>
      <c r="C14" s="79"/>
      <c r="D14" s="21" t="s">
        <v>58</v>
      </c>
      <c r="E14" s="21" t="s">
        <v>30</v>
      </c>
      <c r="F14" s="22">
        <v>4</v>
      </c>
      <c r="G14" s="65">
        <f t="shared" si="0"/>
        <v>719.04</v>
      </c>
      <c r="H14" s="66">
        <f>128.4*140%</f>
        <v>179.76</v>
      </c>
      <c r="I14" s="65">
        <f t="shared" si="1"/>
        <v>659.12</v>
      </c>
      <c r="J14" s="66">
        <f>(107+107*10%)*140%</f>
        <v>164.78</v>
      </c>
      <c r="K14" s="65">
        <f t="shared" si="2"/>
        <v>599.19999999999993</v>
      </c>
      <c r="L14" s="66">
        <f>107*140%</f>
        <v>149.79999999999998</v>
      </c>
      <c r="M14" s="65">
        <f t="shared" si="3"/>
        <v>559.20000000000005</v>
      </c>
      <c r="N14" s="66">
        <v>139.80000000000001</v>
      </c>
      <c r="O14" s="23">
        <v>306</v>
      </c>
      <c r="P14" s="19"/>
    </row>
    <row r="15" spans="1:17" s="11" customFormat="1" ht="23.25" customHeight="1">
      <c r="A15" s="24"/>
      <c r="B15" s="75" t="s">
        <v>32</v>
      </c>
      <c r="C15" s="76"/>
      <c r="D15" s="25" t="s">
        <v>57</v>
      </c>
      <c r="E15" s="25" t="s">
        <v>30</v>
      </c>
      <c r="F15" s="26">
        <v>9</v>
      </c>
      <c r="G15" s="65">
        <f t="shared" si="0"/>
        <v>981</v>
      </c>
      <c r="H15" s="67">
        <v>109</v>
      </c>
      <c r="I15" s="65">
        <f t="shared" si="1"/>
        <v>884.06999999999994</v>
      </c>
      <c r="J15" s="67">
        <f>89.3+89.3*10%</f>
        <v>98.22999999999999</v>
      </c>
      <c r="K15" s="65">
        <f t="shared" si="2"/>
        <v>803.69999999999993</v>
      </c>
      <c r="L15" s="67">
        <v>89.3</v>
      </c>
      <c r="M15" s="65">
        <f t="shared" si="3"/>
        <v>720</v>
      </c>
      <c r="N15" s="67">
        <v>80</v>
      </c>
      <c r="O15" s="27">
        <v>186</v>
      </c>
      <c r="P15" s="19"/>
    </row>
    <row r="16" spans="1:17" s="11" customFormat="1" ht="23.25" customHeight="1">
      <c r="A16" s="20"/>
      <c r="B16" s="78" t="s">
        <v>32</v>
      </c>
      <c r="C16" s="79"/>
      <c r="D16" s="21" t="s">
        <v>58</v>
      </c>
      <c r="E16" s="21" t="s">
        <v>30</v>
      </c>
      <c r="F16" s="22">
        <v>4</v>
      </c>
      <c r="G16" s="65">
        <f t="shared" si="0"/>
        <v>729.68000000000006</v>
      </c>
      <c r="H16" s="66">
        <f>130.3*140%</f>
        <v>182.42000000000002</v>
      </c>
      <c r="I16" s="65">
        <f t="shared" si="1"/>
        <v>668.976</v>
      </c>
      <c r="J16" s="66">
        <f>(108.6*110%)*140%</f>
        <v>167.244</v>
      </c>
      <c r="K16" s="65">
        <f t="shared" si="2"/>
        <v>608.16</v>
      </c>
      <c r="L16" s="66">
        <f>108.6*140%</f>
        <v>152.04</v>
      </c>
      <c r="M16" s="65">
        <f t="shared" si="3"/>
        <v>568.08000000000004</v>
      </c>
      <c r="N16" s="66">
        <v>142.02000000000001</v>
      </c>
      <c r="O16" s="23">
        <v>311</v>
      </c>
      <c r="P16" s="19"/>
    </row>
    <row r="17" spans="1:16" s="11" customFormat="1" ht="23.25" customHeight="1">
      <c r="A17" s="24"/>
      <c r="B17" s="80" t="s">
        <v>6</v>
      </c>
      <c r="C17" s="81"/>
      <c r="D17" s="25" t="s">
        <v>57</v>
      </c>
      <c r="E17" s="25" t="s">
        <v>30</v>
      </c>
      <c r="F17" s="26">
        <v>9</v>
      </c>
      <c r="G17" s="65">
        <f t="shared" si="0"/>
        <v>990</v>
      </c>
      <c r="H17" s="67">
        <v>110</v>
      </c>
      <c r="I17" s="65">
        <f t="shared" si="1"/>
        <v>901.89</v>
      </c>
      <c r="J17" s="67">
        <f>91.1+91.1*10%</f>
        <v>100.21</v>
      </c>
      <c r="K17" s="65">
        <f t="shared" si="2"/>
        <v>819.9</v>
      </c>
      <c r="L17" s="67">
        <v>91.1</v>
      </c>
      <c r="M17" s="65">
        <f t="shared" si="3"/>
        <v>720</v>
      </c>
      <c r="N17" s="67">
        <v>80</v>
      </c>
      <c r="O17" s="27">
        <v>187</v>
      </c>
      <c r="P17" s="19"/>
    </row>
    <row r="18" spans="1:16" s="11" customFormat="1" ht="23.25" customHeight="1">
      <c r="A18" s="20"/>
      <c r="B18" s="84" t="s">
        <v>6</v>
      </c>
      <c r="C18" s="85"/>
      <c r="D18" s="21" t="s">
        <v>58</v>
      </c>
      <c r="E18" s="21" t="s">
        <v>30</v>
      </c>
      <c r="F18" s="22">
        <v>4</v>
      </c>
      <c r="G18" s="65">
        <f t="shared" si="0"/>
        <v>761.59999999999991</v>
      </c>
      <c r="H18" s="66">
        <f>136*140%</f>
        <v>190.39999999999998</v>
      </c>
      <c r="I18" s="65">
        <f t="shared" si="1"/>
        <v>694.84799999999996</v>
      </c>
      <c r="J18" s="66">
        <f>(112.8+112.8*10%)*140%</f>
        <v>173.71199999999999</v>
      </c>
      <c r="K18" s="65">
        <f t="shared" si="2"/>
        <v>631.67999999999995</v>
      </c>
      <c r="L18" s="66">
        <f>112.8*140%</f>
        <v>157.91999999999999</v>
      </c>
      <c r="M18" s="65">
        <f t="shared" si="3"/>
        <v>591.67999999999995</v>
      </c>
      <c r="N18" s="66">
        <v>147.91999999999999</v>
      </c>
      <c r="O18" s="28">
        <v>324</v>
      </c>
      <c r="P18" s="19"/>
    </row>
    <row r="19" spans="1:16" s="11" customFormat="1" ht="23.25" customHeight="1">
      <c r="A19" s="24"/>
      <c r="B19" s="75" t="s">
        <v>7</v>
      </c>
      <c r="C19" s="76"/>
      <c r="D19" s="25" t="s">
        <v>57</v>
      </c>
      <c r="E19" s="25" t="s">
        <v>30</v>
      </c>
      <c r="F19" s="26">
        <v>9</v>
      </c>
      <c r="G19" s="65">
        <f t="shared" si="0"/>
        <v>981</v>
      </c>
      <c r="H19" s="67">
        <v>109</v>
      </c>
      <c r="I19" s="65">
        <f t="shared" si="1"/>
        <v>886.05000000000007</v>
      </c>
      <c r="J19" s="67">
        <f>89.5+89.5*10%</f>
        <v>98.45</v>
      </c>
      <c r="K19" s="65">
        <f t="shared" si="2"/>
        <v>805.5</v>
      </c>
      <c r="L19" s="67">
        <v>89.5</v>
      </c>
      <c r="M19" s="65">
        <f t="shared" si="3"/>
        <v>720</v>
      </c>
      <c r="N19" s="67">
        <v>80</v>
      </c>
      <c r="O19" s="27">
        <v>186</v>
      </c>
      <c r="P19" s="19"/>
    </row>
    <row r="20" spans="1:16" s="11" customFormat="1" ht="23.25" customHeight="1">
      <c r="A20" s="20"/>
      <c r="B20" s="78" t="s">
        <v>7</v>
      </c>
      <c r="C20" s="79"/>
      <c r="D20" s="21" t="s">
        <v>58</v>
      </c>
      <c r="E20" s="21" t="s">
        <v>30</v>
      </c>
      <c r="F20" s="22">
        <v>4</v>
      </c>
      <c r="G20" s="65">
        <f t="shared" si="0"/>
        <v>828.8</v>
      </c>
      <c r="H20" s="66">
        <f>148*140%</f>
        <v>207.2</v>
      </c>
      <c r="I20" s="65">
        <f t="shared" si="1"/>
        <v>657.88799999999992</v>
      </c>
      <c r="J20" s="66">
        <f>(106.8+106.8*10%)*140%</f>
        <v>164.47199999999998</v>
      </c>
      <c r="K20" s="65">
        <f t="shared" si="2"/>
        <v>598.07999999999993</v>
      </c>
      <c r="L20" s="66">
        <f>106.8*140%</f>
        <v>149.51999999999998</v>
      </c>
      <c r="M20" s="65">
        <f t="shared" si="3"/>
        <v>558.08000000000004</v>
      </c>
      <c r="N20" s="66">
        <v>139.52000000000001</v>
      </c>
      <c r="O20" s="23">
        <v>353</v>
      </c>
      <c r="P20" s="19"/>
    </row>
    <row r="21" spans="1:16" s="11" customFormat="1" ht="23.25" customHeight="1">
      <c r="A21" s="29"/>
      <c r="B21" s="75" t="s">
        <v>33</v>
      </c>
      <c r="C21" s="76"/>
      <c r="D21" s="25" t="s">
        <v>57</v>
      </c>
      <c r="E21" s="25" t="s">
        <v>30</v>
      </c>
      <c r="F21" s="26">
        <v>9</v>
      </c>
      <c r="G21" s="65">
        <f t="shared" si="0"/>
        <v>999</v>
      </c>
      <c r="H21" s="67">
        <v>111</v>
      </c>
      <c r="I21" s="65">
        <f t="shared" si="1"/>
        <v>913.77</v>
      </c>
      <c r="J21" s="67">
        <f>92.3+92.3*10%</f>
        <v>101.53</v>
      </c>
      <c r="K21" s="65">
        <f t="shared" si="2"/>
        <v>830.69999999999993</v>
      </c>
      <c r="L21" s="67">
        <v>92.3</v>
      </c>
      <c r="M21" s="65">
        <f t="shared" si="3"/>
        <v>720</v>
      </c>
      <c r="N21" s="67">
        <v>80</v>
      </c>
      <c r="O21" s="27">
        <v>189</v>
      </c>
      <c r="P21" s="19"/>
    </row>
    <row r="22" spans="1:16" ht="20.100000000000001" customHeight="1">
      <c r="A22" s="30"/>
      <c r="B22" s="78" t="s">
        <v>33</v>
      </c>
      <c r="C22" s="79"/>
      <c r="D22" s="21" t="s">
        <v>58</v>
      </c>
      <c r="E22" s="21" t="s">
        <v>30</v>
      </c>
      <c r="F22" s="22">
        <v>4</v>
      </c>
      <c r="G22" s="65">
        <f t="shared" si="0"/>
        <v>778.4</v>
      </c>
      <c r="H22" s="66">
        <f>139*140%</f>
        <v>194.6</v>
      </c>
      <c r="I22" s="65">
        <f t="shared" si="1"/>
        <v>712.71199999999999</v>
      </c>
      <c r="J22" s="66">
        <f>(115.7+115.7*10%)*140%</f>
        <v>178.178</v>
      </c>
      <c r="K22" s="65">
        <f t="shared" si="2"/>
        <v>647.91999999999996</v>
      </c>
      <c r="L22" s="66">
        <f>115.7*140%</f>
        <v>161.97999999999999</v>
      </c>
      <c r="M22" s="65">
        <f t="shared" si="3"/>
        <v>607.91999999999996</v>
      </c>
      <c r="N22" s="66">
        <v>151.97999999999999</v>
      </c>
      <c r="O22" s="23">
        <v>331</v>
      </c>
      <c r="P22" s="19"/>
    </row>
    <row r="23" spans="1:16" ht="20.100000000000001" customHeight="1">
      <c r="A23" s="29"/>
      <c r="B23" s="75" t="s">
        <v>34</v>
      </c>
      <c r="C23" s="76"/>
      <c r="D23" s="25" t="s">
        <v>57</v>
      </c>
      <c r="E23" s="25" t="s">
        <v>30</v>
      </c>
      <c r="F23" s="26">
        <v>9</v>
      </c>
      <c r="G23" s="65">
        <f t="shared" si="0"/>
        <v>999</v>
      </c>
      <c r="H23" s="67">
        <v>111</v>
      </c>
      <c r="I23" s="65">
        <f t="shared" si="1"/>
        <v>910.80000000000007</v>
      </c>
      <c r="J23" s="67">
        <f>92+92*10%</f>
        <v>101.2</v>
      </c>
      <c r="K23" s="65">
        <f t="shared" si="2"/>
        <v>828</v>
      </c>
      <c r="L23" s="67">
        <v>92</v>
      </c>
      <c r="M23" s="65">
        <f t="shared" si="3"/>
        <v>720</v>
      </c>
      <c r="N23" s="67">
        <v>80</v>
      </c>
      <c r="O23" s="27">
        <v>189</v>
      </c>
      <c r="P23" s="19"/>
    </row>
    <row r="24" spans="1:16" ht="20.100000000000001" customHeight="1">
      <c r="A24" s="30"/>
      <c r="B24" s="78" t="s">
        <v>34</v>
      </c>
      <c r="C24" s="79"/>
      <c r="D24" s="21" t="s">
        <v>58</v>
      </c>
      <c r="E24" s="21" t="s">
        <v>30</v>
      </c>
      <c r="F24" s="22">
        <v>4</v>
      </c>
      <c r="G24" s="65">
        <f t="shared" si="0"/>
        <v>778.4</v>
      </c>
      <c r="H24" s="66">
        <f>139*140%</f>
        <v>194.6</v>
      </c>
      <c r="I24" s="65">
        <f t="shared" si="1"/>
        <v>710.24799999999993</v>
      </c>
      <c r="J24" s="66">
        <f>(115.3+115.3*10%)*140%</f>
        <v>177.56199999999998</v>
      </c>
      <c r="K24" s="65">
        <f t="shared" si="2"/>
        <v>645.67999999999995</v>
      </c>
      <c r="L24" s="66">
        <f>115.3*140%</f>
        <v>161.41999999999999</v>
      </c>
      <c r="M24" s="65">
        <f t="shared" si="3"/>
        <v>605.67999999999995</v>
      </c>
      <c r="N24" s="66">
        <v>151.41999999999999</v>
      </c>
      <c r="O24" s="23">
        <v>331</v>
      </c>
      <c r="P24" s="19"/>
    </row>
    <row r="25" spans="1:16" ht="20.100000000000001" customHeight="1">
      <c r="A25" s="29"/>
      <c r="B25" s="75" t="s">
        <v>8</v>
      </c>
      <c r="C25" s="76"/>
      <c r="D25" s="25" t="s">
        <v>57</v>
      </c>
      <c r="E25" s="25" t="s">
        <v>30</v>
      </c>
      <c r="F25" s="26">
        <v>9</v>
      </c>
      <c r="G25" s="65">
        <f t="shared" si="0"/>
        <v>999</v>
      </c>
      <c r="H25" s="67">
        <v>111</v>
      </c>
      <c r="I25" s="65">
        <f t="shared" si="1"/>
        <v>911.78999999999985</v>
      </c>
      <c r="J25" s="67">
        <f>92.1+92.1*10%</f>
        <v>101.30999999999999</v>
      </c>
      <c r="K25" s="65">
        <f t="shared" si="2"/>
        <v>828.9</v>
      </c>
      <c r="L25" s="67">
        <v>92.1</v>
      </c>
      <c r="M25" s="65">
        <f t="shared" si="3"/>
        <v>720</v>
      </c>
      <c r="N25" s="67">
        <v>80</v>
      </c>
      <c r="O25" s="27">
        <v>189</v>
      </c>
      <c r="P25" s="19"/>
    </row>
    <row r="26" spans="1:16" ht="20.100000000000001" customHeight="1">
      <c r="A26" s="30"/>
      <c r="B26" s="78" t="s">
        <v>8</v>
      </c>
      <c r="C26" s="79"/>
      <c r="D26" s="21" t="s">
        <v>58</v>
      </c>
      <c r="E26" s="21" t="s">
        <v>30</v>
      </c>
      <c r="F26" s="22">
        <v>4</v>
      </c>
      <c r="G26" s="65">
        <f t="shared" si="0"/>
        <v>772.8</v>
      </c>
      <c r="H26" s="66">
        <f>138*140%</f>
        <v>193.2</v>
      </c>
      <c r="I26" s="65">
        <f t="shared" si="1"/>
        <v>705.31999999999994</v>
      </c>
      <c r="J26" s="66">
        <f>(114.5+114.5*10%)*140%</f>
        <v>176.32999999999998</v>
      </c>
      <c r="K26" s="65">
        <f t="shared" si="2"/>
        <v>641.19999999999993</v>
      </c>
      <c r="L26" s="66">
        <f>114.5*140%</f>
        <v>160.29999999999998</v>
      </c>
      <c r="M26" s="65">
        <f t="shared" si="3"/>
        <v>601.20000000000005</v>
      </c>
      <c r="N26" s="66">
        <v>150.30000000000001</v>
      </c>
      <c r="O26" s="23">
        <v>329</v>
      </c>
      <c r="P26" s="19"/>
    </row>
    <row r="27" spans="1:16" ht="20.100000000000001" customHeight="1">
      <c r="A27" s="29"/>
      <c r="B27" s="75" t="s">
        <v>9</v>
      </c>
      <c r="C27" s="76"/>
      <c r="D27" s="25" t="s">
        <v>57</v>
      </c>
      <c r="E27" s="25" t="s">
        <v>30</v>
      </c>
      <c r="F27" s="26">
        <v>9</v>
      </c>
      <c r="G27" s="65">
        <f t="shared" si="0"/>
        <v>1026</v>
      </c>
      <c r="H27" s="67">
        <v>114</v>
      </c>
      <c r="I27" s="65">
        <f t="shared" si="1"/>
        <v>935.55000000000007</v>
      </c>
      <c r="J27" s="67">
        <f>94.5+94.5*10%</f>
        <v>103.95</v>
      </c>
      <c r="K27" s="65">
        <f t="shared" si="2"/>
        <v>850.5</v>
      </c>
      <c r="L27" s="67">
        <v>94.5</v>
      </c>
      <c r="M27" s="65">
        <f t="shared" si="3"/>
        <v>747</v>
      </c>
      <c r="N27" s="67">
        <v>83</v>
      </c>
      <c r="O27" s="27">
        <v>194</v>
      </c>
      <c r="P27" s="19"/>
    </row>
    <row r="28" spans="1:16" ht="20.100000000000001" customHeight="1">
      <c r="A28" s="30"/>
      <c r="B28" s="78" t="s">
        <v>9</v>
      </c>
      <c r="C28" s="79"/>
      <c r="D28" s="21" t="s">
        <v>58</v>
      </c>
      <c r="E28" s="21" t="s">
        <v>30</v>
      </c>
      <c r="F28" s="22">
        <v>4</v>
      </c>
      <c r="G28" s="65">
        <f t="shared" si="0"/>
        <v>733.59999999999991</v>
      </c>
      <c r="H28" s="66">
        <f>131*140%</f>
        <v>183.39999999999998</v>
      </c>
      <c r="I28" s="65">
        <f t="shared" si="1"/>
        <v>669.59199999999998</v>
      </c>
      <c r="J28" s="66">
        <f>(108.7+108.7*10%)*140%</f>
        <v>167.398</v>
      </c>
      <c r="K28" s="65">
        <f t="shared" si="2"/>
        <v>608.72</v>
      </c>
      <c r="L28" s="66">
        <f>108.7*140%</f>
        <v>152.18</v>
      </c>
      <c r="M28" s="65">
        <f t="shared" si="3"/>
        <v>568.72</v>
      </c>
      <c r="N28" s="66">
        <v>142.18</v>
      </c>
      <c r="O28" s="23">
        <v>312</v>
      </c>
      <c r="P28" s="19"/>
    </row>
    <row r="29" spans="1:16" ht="20.100000000000001" customHeight="1">
      <c r="A29" s="29"/>
      <c r="B29" s="75" t="s">
        <v>10</v>
      </c>
      <c r="C29" s="76"/>
      <c r="D29" s="25" t="s">
        <v>57</v>
      </c>
      <c r="E29" s="25" t="s">
        <v>30</v>
      </c>
      <c r="F29" s="26">
        <v>9</v>
      </c>
      <c r="G29" s="65">
        <f t="shared" si="0"/>
        <v>1071</v>
      </c>
      <c r="H29" s="67">
        <v>119</v>
      </c>
      <c r="I29" s="65">
        <f t="shared" si="1"/>
        <v>975.15</v>
      </c>
      <c r="J29" s="67">
        <f>98.5+98.5*10%</f>
        <v>108.35</v>
      </c>
      <c r="K29" s="65">
        <f t="shared" si="2"/>
        <v>886.5</v>
      </c>
      <c r="L29" s="67">
        <v>98.5</v>
      </c>
      <c r="M29" s="65">
        <f t="shared" si="3"/>
        <v>792</v>
      </c>
      <c r="N29" s="67">
        <v>88</v>
      </c>
      <c r="O29" s="27">
        <v>203</v>
      </c>
      <c r="P29" s="19"/>
    </row>
    <row r="30" spans="1:16" ht="20.100000000000001" customHeight="1">
      <c r="A30" s="30"/>
      <c r="B30" s="78" t="s">
        <v>10</v>
      </c>
      <c r="C30" s="79"/>
      <c r="D30" s="21" t="s">
        <v>58</v>
      </c>
      <c r="E30" s="21" t="s">
        <v>30</v>
      </c>
      <c r="F30" s="22">
        <v>4</v>
      </c>
      <c r="G30" s="65">
        <f t="shared" si="0"/>
        <v>834.4</v>
      </c>
      <c r="H30" s="66">
        <f>149*140%</f>
        <v>208.6</v>
      </c>
      <c r="I30" s="65">
        <f t="shared" si="1"/>
        <v>763.22400000000005</v>
      </c>
      <c r="J30" s="66">
        <f>(123.9+123.9*10%)*140%</f>
        <v>190.80600000000001</v>
      </c>
      <c r="K30" s="65">
        <f t="shared" si="2"/>
        <v>693.84</v>
      </c>
      <c r="L30" s="66">
        <f>123.9*140%</f>
        <v>173.46</v>
      </c>
      <c r="M30" s="65">
        <f t="shared" si="3"/>
        <v>653.84</v>
      </c>
      <c r="N30" s="66">
        <v>163.46</v>
      </c>
      <c r="O30" s="23">
        <v>355</v>
      </c>
      <c r="P30" s="19"/>
    </row>
    <row r="31" spans="1:16" ht="20.100000000000001" customHeight="1">
      <c r="A31" s="29"/>
      <c r="B31" s="75" t="s">
        <v>11</v>
      </c>
      <c r="C31" s="76"/>
      <c r="D31" s="25" t="s">
        <v>57</v>
      </c>
      <c r="E31" s="25" t="s">
        <v>30</v>
      </c>
      <c r="F31" s="26">
        <v>9</v>
      </c>
      <c r="G31" s="65">
        <f t="shared" si="0"/>
        <v>1080</v>
      </c>
      <c r="H31" s="67">
        <v>120</v>
      </c>
      <c r="I31" s="65">
        <f t="shared" si="1"/>
        <v>986.04</v>
      </c>
      <c r="J31" s="67">
        <f>99.6+99.6*10%</f>
        <v>109.56</v>
      </c>
      <c r="K31" s="65">
        <f t="shared" si="2"/>
        <v>896.4</v>
      </c>
      <c r="L31" s="67">
        <v>99.6</v>
      </c>
      <c r="M31" s="65">
        <f t="shared" si="3"/>
        <v>801</v>
      </c>
      <c r="N31" s="67">
        <v>89</v>
      </c>
      <c r="O31" s="27">
        <v>204</v>
      </c>
      <c r="P31" s="19"/>
    </row>
    <row r="32" spans="1:16" ht="20.100000000000001" customHeight="1">
      <c r="A32" s="32"/>
      <c r="B32" s="86" t="s">
        <v>11</v>
      </c>
      <c r="C32" s="87"/>
      <c r="D32" s="33" t="s">
        <v>58</v>
      </c>
      <c r="E32" s="33" t="s">
        <v>30</v>
      </c>
      <c r="F32" s="34">
        <v>4</v>
      </c>
      <c r="G32" s="68">
        <f t="shared" si="0"/>
        <v>912.8</v>
      </c>
      <c r="H32" s="69">
        <f>163*140%</f>
        <v>228.2</v>
      </c>
      <c r="I32" s="68">
        <f t="shared" si="1"/>
        <v>832.83199999999999</v>
      </c>
      <c r="J32" s="69">
        <f>(135.2+135.2*10%)*140%</f>
        <v>208.208</v>
      </c>
      <c r="K32" s="68">
        <f t="shared" si="2"/>
        <v>757.11999999999989</v>
      </c>
      <c r="L32" s="69">
        <f>135.2*140%</f>
        <v>189.27999999999997</v>
      </c>
      <c r="M32" s="68">
        <f t="shared" si="3"/>
        <v>717.12</v>
      </c>
      <c r="N32" s="69">
        <v>179.28</v>
      </c>
      <c r="O32" s="23">
        <v>388</v>
      </c>
      <c r="P32" s="19"/>
    </row>
    <row r="33" spans="1:16" ht="20.100000000000001" customHeight="1">
      <c r="A33" s="12"/>
      <c r="B33" s="13" t="s">
        <v>27</v>
      </c>
      <c r="C33" s="13"/>
      <c r="D33" s="58"/>
      <c r="E33" s="13"/>
      <c r="F33" s="13"/>
      <c r="G33" s="70"/>
      <c r="H33" s="71"/>
      <c r="I33" s="70"/>
      <c r="J33" s="71"/>
      <c r="K33" s="70"/>
      <c r="L33" s="71"/>
      <c r="M33" s="70"/>
      <c r="N33" s="71"/>
      <c r="O33" s="35"/>
      <c r="P33" s="19"/>
    </row>
    <row r="34" spans="1:16" ht="20.100000000000001" customHeight="1">
      <c r="A34" s="36"/>
      <c r="B34" s="82" t="s">
        <v>12</v>
      </c>
      <c r="C34" s="83"/>
      <c r="D34" s="16" t="s">
        <v>57</v>
      </c>
      <c r="E34" s="16" t="s">
        <v>30</v>
      </c>
      <c r="F34" s="17">
        <v>9</v>
      </c>
      <c r="G34" s="63">
        <f t="shared" ref="G34:G41" si="4">F34*H34</f>
        <v>1044</v>
      </c>
      <c r="H34" s="64">
        <v>116</v>
      </c>
      <c r="I34" s="63">
        <f t="shared" ref="I34:I41" si="5">F34*J34</f>
        <v>952.38000000000011</v>
      </c>
      <c r="J34" s="64">
        <f>96.2+96.2*10%</f>
        <v>105.82000000000001</v>
      </c>
      <c r="K34" s="63">
        <f t="shared" ref="K34:K41" si="6">F34*L34</f>
        <v>865.80000000000007</v>
      </c>
      <c r="L34" s="64">
        <v>96.2</v>
      </c>
      <c r="M34" s="63">
        <f t="shared" ref="M34:M41" si="7">F34*N34</f>
        <v>810</v>
      </c>
      <c r="N34" s="64">
        <v>90</v>
      </c>
      <c r="O34" s="18">
        <v>198</v>
      </c>
      <c r="P34" s="19"/>
    </row>
    <row r="35" spans="1:16" ht="20.100000000000001" customHeight="1">
      <c r="A35" s="30"/>
      <c r="B35" s="78" t="s">
        <v>12</v>
      </c>
      <c r="C35" s="79"/>
      <c r="D35" s="21" t="s">
        <v>58</v>
      </c>
      <c r="E35" s="21" t="s">
        <v>30</v>
      </c>
      <c r="F35" s="22">
        <v>4</v>
      </c>
      <c r="G35" s="65">
        <f t="shared" si="4"/>
        <v>828.8</v>
      </c>
      <c r="H35" s="66">
        <f>148*140%</f>
        <v>207.2</v>
      </c>
      <c r="I35" s="65">
        <f t="shared" si="5"/>
        <v>755.83199999999999</v>
      </c>
      <c r="J35" s="66">
        <f>(122.7+122.7*10%)*140%</f>
        <v>188.958</v>
      </c>
      <c r="K35" s="65">
        <f t="shared" si="6"/>
        <v>687.12</v>
      </c>
      <c r="L35" s="66">
        <f>122.7*140%</f>
        <v>171.78</v>
      </c>
      <c r="M35" s="65">
        <f t="shared" si="7"/>
        <v>647.12</v>
      </c>
      <c r="N35" s="66">
        <v>161.78</v>
      </c>
      <c r="O35" s="23">
        <v>353</v>
      </c>
      <c r="P35" s="19"/>
    </row>
    <row r="36" spans="1:16" ht="20.100000000000001" customHeight="1">
      <c r="A36" s="29"/>
      <c r="B36" s="75" t="s">
        <v>13</v>
      </c>
      <c r="C36" s="76"/>
      <c r="D36" s="25" t="s">
        <v>57</v>
      </c>
      <c r="E36" s="25" t="s">
        <v>30</v>
      </c>
      <c r="F36" s="26">
        <v>9</v>
      </c>
      <c r="G36" s="65">
        <f t="shared" si="4"/>
        <v>1035</v>
      </c>
      <c r="H36" s="67">
        <v>115</v>
      </c>
      <c r="I36" s="65">
        <f t="shared" si="5"/>
        <v>949.41000000000008</v>
      </c>
      <c r="J36" s="67">
        <f>95.9+95.9*10%</f>
        <v>105.49000000000001</v>
      </c>
      <c r="K36" s="65">
        <f t="shared" si="6"/>
        <v>863.1</v>
      </c>
      <c r="L36" s="67">
        <v>95.9</v>
      </c>
      <c r="M36" s="65">
        <f t="shared" si="7"/>
        <v>810</v>
      </c>
      <c r="N36" s="67">
        <v>90</v>
      </c>
      <c r="O36" s="27">
        <v>196</v>
      </c>
      <c r="P36" s="19"/>
    </row>
    <row r="37" spans="1:16" ht="20.100000000000001" customHeight="1">
      <c r="A37" s="30"/>
      <c r="B37" s="78" t="s">
        <v>13</v>
      </c>
      <c r="C37" s="79"/>
      <c r="D37" s="21" t="s">
        <v>58</v>
      </c>
      <c r="E37" s="21" t="s">
        <v>30</v>
      </c>
      <c r="F37" s="22">
        <v>4</v>
      </c>
      <c r="G37" s="65">
        <f t="shared" si="4"/>
        <v>823.19999999999993</v>
      </c>
      <c r="H37" s="66">
        <f>147*140%</f>
        <v>205.79999999999998</v>
      </c>
      <c r="I37" s="65">
        <f t="shared" si="5"/>
        <v>752.75200000000007</v>
      </c>
      <c r="J37" s="66">
        <f>(122.2+122.2*10%)*140%</f>
        <v>188.18800000000002</v>
      </c>
      <c r="K37" s="65">
        <f t="shared" si="6"/>
        <v>684.31999999999994</v>
      </c>
      <c r="L37" s="66">
        <f>122.2*140%</f>
        <v>171.07999999999998</v>
      </c>
      <c r="M37" s="65">
        <f t="shared" si="7"/>
        <v>644.32000000000005</v>
      </c>
      <c r="N37" s="66">
        <v>161.08000000000001</v>
      </c>
      <c r="O37" s="23">
        <v>350</v>
      </c>
      <c r="P37" s="19"/>
    </row>
    <row r="38" spans="1:16" ht="20.100000000000001" customHeight="1">
      <c r="A38" s="29"/>
      <c r="B38" s="75" t="s">
        <v>14</v>
      </c>
      <c r="C38" s="76"/>
      <c r="D38" s="25" t="s">
        <v>57</v>
      </c>
      <c r="E38" s="25" t="s">
        <v>30</v>
      </c>
      <c r="F38" s="26">
        <v>9</v>
      </c>
      <c r="G38" s="65">
        <f t="shared" si="4"/>
        <v>1089</v>
      </c>
      <c r="H38" s="67">
        <v>121</v>
      </c>
      <c r="I38" s="65">
        <f t="shared" si="5"/>
        <v>995.93999999999994</v>
      </c>
      <c r="J38" s="67">
        <f>100.6+100.6*10%</f>
        <v>110.66</v>
      </c>
      <c r="K38" s="65">
        <f t="shared" si="6"/>
        <v>905.4</v>
      </c>
      <c r="L38" s="67">
        <v>100.6</v>
      </c>
      <c r="M38" s="65">
        <f t="shared" si="7"/>
        <v>855</v>
      </c>
      <c r="N38" s="67">
        <v>95</v>
      </c>
      <c r="O38" s="27">
        <v>206</v>
      </c>
      <c r="P38" s="19"/>
    </row>
    <row r="39" spans="1:16" ht="20.100000000000001" customHeight="1">
      <c r="A39" s="30"/>
      <c r="B39" s="78" t="s">
        <v>14</v>
      </c>
      <c r="C39" s="79"/>
      <c r="D39" s="21" t="s">
        <v>58</v>
      </c>
      <c r="E39" s="21" t="s">
        <v>30</v>
      </c>
      <c r="F39" s="22">
        <v>4</v>
      </c>
      <c r="G39" s="65">
        <f t="shared" si="4"/>
        <v>890.4</v>
      </c>
      <c r="H39" s="66">
        <f>159*140%</f>
        <v>222.6</v>
      </c>
      <c r="I39" s="65">
        <f t="shared" si="5"/>
        <v>814.35199999999986</v>
      </c>
      <c r="J39" s="66">
        <f>(132.2+132.2*10%)*140%</f>
        <v>203.58799999999997</v>
      </c>
      <c r="K39" s="65">
        <f t="shared" si="6"/>
        <v>740.31999999999994</v>
      </c>
      <c r="L39" s="66">
        <f>132.2*140%</f>
        <v>185.07999999999998</v>
      </c>
      <c r="M39" s="65">
        <f t="shared" si="7"/>
        <v>700.32</v>
      </c>
      <c r="N39" s="66">
        <v>175.08</v>
      </c>
      <c r="O39" s="23">
        <v>379</v>
      </c>
      <c r="P39" s="19"/>
    </row>
    <row r="40" spans="1:16" ht="20.100000000000001" customHeight="1">
      <c r="A40" s="29"/>
      <c r="B40" s="75" t="s">
        <v>15</v>
      </c>
      <c r="C40" s="76"/>
      <c r="D40" s="25" t="s">
        <v>57</v>
      </c>
      <c r="E40" s="25" t="s">
        <v>30</v>
      </c>
      <c r="F40" s="26">
        <v>9</v>
      </c>
      <c r="G40" s="65">
        <f t="shared" si="4"/>
        <v>1080</v>
      </c>
      <c r="H40" s="67">
        <v>120</v>
      </c>
      <c r="I40" s="65">
        <f t="shared" si="5"/>
        <v>986.04</v>
      </c>
      <c r="J40" s="67">
        <f>99.6+99.6*10%</f>
        <v>109.56</v>
      </c>
      <c r="K40" s="65">
        <f t="shared" si="6"/>
        <v>896.4</v>
      </c>
      <c r="L40" s="67">
        <v>99.6</v>
      </c>
      <c r="M40" s="65">
        <f t="shared" si="7"/>
        <v>855</v>
      </c>
      <c r="N40" s="67">
        <v>95</v>
      </c>
      <c r="O40" s="27">
        <v>204</v>
      </c>
      <c r="P40" s="19"/>
    </row>
    <row r="41" spans="1:16" ht="20.100000000000001" customHeight="1">
      <c r="A41" s="32"/>
      <c r="B41" s="86" t="s">
        <v>15</v>
      </c>
      <c r="C41" s="87"/>
      <c r="D41" s="33" t="s">
        <v>58</v>
      </c>
      <c r="E41" s="33" t="s">
        <v>30</v>
      </c>
      <c r="F41" s="34">
        <v>4</v>
      </c>
      <c r="G41" s="68">
        <f t="shared" si="4"/>
        <v>884.8</v>
      </c>
      <c r="H41" s="69">
        <f>158*140%</f>
        <v>221.2</v>
      </c>
      <c r="I41" s="68">
        <f t="shared" si="5"/>
        <v>807.57599999999979</v>
      </c>
      <c r="J41" s="69">
        <f>(131.1+131.1*10%)*140%</f>
        <v>201.89399999999995</v>
      </c>
      <c r="K41" s="68">
        <f t="shared" si="6"/>
        <v>734.16</v>
      </c>
      <c r="L41" s="69">
        <f>131.1*140%</f>
        <v>183.54</v>
      </c>
      <c r="M41" s="68">
        <f t="shared" si="7"/>
        <v>694.16</v>
      </c>
      <c r="N41" s="69">
        <v>173.54</v>
      </c>
      <c r="O41" s="37">
        <v>377</v>
      </c>
      <c r="P41" s="19"/>
    </row>
    <row r="42" spans="1:16" ht="20.100000000000001" customHeight="1">
      <c r="A42" s="38"/>
      <c r="B42" s="13" t="s">
        <v>28</v>
      </c>
      <c r="C42" s="13"/>
      <c r="D42" s="58"/>
      <c r="E42" s="13"/>
      <c r="F42" s="13"/>
      <c r="G42" s="70"/>
      <c r="H42" s="71"/>
      <c r="I42" s="70"/>
      <c r="J42" s="71"/>
      <c r="K42" s="70"/>
      <c r="L42" s="71"/>
      <c r="M42" s="70"/>
      <c r="N42" s="71"/>
      <c r="O42" s="35"/>
      <c r="P42" s="19"/>
    </row>
    <row r="43" spans="1:16" ht="20.100000000000001" customHeight="1">
      <c r="A43" s="36"/>
      <c r="B43" s="82" t="s">
        <v>16</v>
      </c>
      <c r="C43" s="83"/>
      <c r="D43" s="16" t="s">
        <v>57</v>
      </c>
      <c r="E43" s="16" t="s">
        <v>30</v>
      </c>
      <c r="F43" s="17">
        <v>9</v>
      </c>
      <c r="G43" s="63">
        <f t="shared" ref="G43:G50" si="8">F43*H43</f>
        <v>1179</v>
      </c>
      <c r="H43" s="64">
        <v>131</v>
      </c>
      <c r="I43" s="63">
        <f t="shared" ref="I43:I50" si="9">F43*J43</f>
        <v>1080.0899999999999</v>
      </c>
      <c r="J43" s="64">
        <f>109.1+109.1*10%</f>
        <v>120.00999999999999</v>
      </c>
      <c r="K43" s="63">
        <f t="shared" ref="K43:K50" si="10">F43*L43</f>
        <v>981.9</v>
      </c>
      <c r="L43" s="64">
        <v>109.1</v>
      </c>
      <c r="M43" s="63">
        <f t="shared" ref="M43:M50" si="11">F43*N43</f>
        <v>891</v>
      </c>
      <c r="N43" s="64">
        <v>99</v>
      </c>
      <c r="O43" s="27">
        <v>223</v>
      </c>
      <c r="P43" s="19"/>
    </row>
    <row r="44" spans="1:16" ht="20.100000000000001" customHeight="1">
      <c r="A44" s="30"/>
      <c r="B44" s="78" t="s">
        <v>16</v>
      </c>
      <c r="C44" s="79"/>
      <c r="D44" s="21" t="s">
        <v>58</v>
      </c>
      <c r="E44" s="21" t="s">
        <v>30</v>
      </c>
      <c r="F44" s="22">
        <v>4</v>
      </c>
      <c r="G44" s="65">
        <f t="shared" si="8"/>
        <v>968.8</v>
      </c>
      <c r="H44" s="66">
        <f>173*140%</f>
        <v>242.2</v>
      </c>
      <c r="I44" s="65">
        <f t="shared" si="9"/>
        <v>886.42400000000009</v>
      </c>
      <c r="J44" s="66">
        <f>(143.9+143.9*10%)*140%</f>
        <v>221.60600000000002</v>
      </c>
      <c r="K44" s="65">
        <f t="shared" si="10"/>
        <v>805.84</v>
      </c>
      <c r="L44" s="66">
        <f>143.9*140%</f>
        <v>201.46</v>
      </c>
      <c r="M44" s="65">
        <f t="shared" si="11"/>
        <v>765.84</v>
      </c>
      <c r="N44" s="66">
        <v>191.46</v>
      </c>
      <c r="O44" s="23">
        <v>412</v>
      </c>
      <c r="P44" s="19"/>
    </row>
    <row r="45" spans="1:16" ht="20.100000000000001" customHeight="1">
      <c r="A45" s="29"/>
      <c r="B45" s="75" t="s">
        <v>17</v>
      </c>
      <c r="C45" s="76"/>
      <c r="D45" s="25" t="s">
        <v>57</v>
      </c>
      <c r="E45" s="25" t="s">
        <v>30</v>
      </c>
      <c r="F45" s="26">
        <v>9</v>
      </c>
      <c r="G45" s="65">
        <f t="shared" si="8"/>
        <v>1161</v>
      </c>
      <c r="H45" s="67">
        <v>129</v>
      </c>
      <c r="I45" s="65">
        <f t="shared" si="9"/>
        <v>1057.32</v>
      </c>
      <c r="J45" s="67">
        <f>106.8+106.8*10%</f>
        <v>117.47999999999999</v>
      </c>
      <c r="K45" s="65">
        <f t="shared" si="10"/>
        <v>961.19999999999993</v>
      </c>
      <c r="L45" s="67">
        <v>106.8</v>
      </c>
      <c r="M45" s="65">
        <f t="shared" si="11"/>
        <v>891</v>
      </c>
      <c r="N45" s="67">
        <v>99</v>
      </c>
      <c r="O45" s="27">
        <v>220</v>
      </c>
      <c r="P45" s="19"/>
    </row>
    <row r="46" spans="1:16" ht="20.100000000000001" customHeight="1">
      <c r="A46" s="30"/>
      <c r="B46" s="78" t="s">
        <v>17</v>
      </c>
      <c r="C46" s="79"/>
      <c r="D46" s="21" t="s">
        <v>58</v>
      </c>
      <c r="E46" s="21" t="s">
        <v>30</v>
      </c>
      <c r="F46" s="22">
        <v>4</v>
      </c>
      <c r="G46" s="65">
        <f t="shared" si="8"/>
        <v>951.99999999999989</v>
      </c>
      <c r="H46" s="66">
        <f>170*140%</f>
        <v>237.99999999999997</v>
      </c>
      <c r="I46" s="65">
        <f t="shared" si="9"/>
        <v>872.87199999999984</v>
      </c>
      <c r="J46" s="66">
        <f>(141.7+141.7*10%)*140%</f>
        <v>218.21799999999996</v>
      </c>
      <c r="K46" s="65">
        <f t="shared" si="10"/>
        <v>793.51999999999987</v>
      </c>
      <c r="L46" s="66">
        <f>141.7*140%</f>
        <v>198.37999999999997</v>
      </c>
      <c r="M46" s="65">
        <f t="shared" si="11"/>
        <v>753.52</v>
      </c>
      <c r="N46" s="66">
        <v>188.38</v>
      </c>
      <c r="O46" s="23">
        <v>405</v>
      </c>
      <c r="P46" s="19"/>
    </row>
    <row r="47" spans="1:16" ht="20.100000000000001" customHeight="1">
      <c r="A47" s="29"/>
      <c r="B47" s="75" t="s">
        <v>35</v>
      </c>
      <c r="C47" s="76"/>
      <c r="D47" s="25" t="s">
        <v>57</v>
      </c>
      <c r="E47" s="25" t="s">
        <v>30</v>
      </c>
      <c r="F47" s="26">
        <v>9</v>
      </c>
      <c r="G47" s="65">
        <f t="shared" si="8"/>
        <v>1197</v>
      </c>
      <c r="H47" s="67">
        <v>133</v>
      </c>
      <c r="I47" s="65">
        <f t="shared" si="9"/>
        <v>1090.98</v>
      </c>
      <c r="J47" s="67">
        <f>110.2+110.2*10%</f>
        <v>121.22</v>
      </c>
      <c r="K47" s="65">
        <f t="shared" si="10"/>
        <v>991.80000000000007</v>
      </c>
      <c r="L47" s="67">
        <v>110.2</v>
      </c>
      <c r="M47" s="65">
        <f t="shared" si="11"/>
        <v>891</v>
      </c>
      <c r="N47" s="67">
        <v>99</v>
      </c>
      <c r="O47" s="27">
        <v>227</v>
      </c>
      <c r="P47" s="19"/>
    </row>
    <row r="48" spans="1:16" ht="20.100000000000001" customHeight="1">
      <c r="A48" s="30"/>
      <c r="B48" s="78" t="s">
        <v>35</v>
      </c>
      <c r="C48" s="79"/>
      <c r="D48" s="21" t="s">
        <v>58</v>
      </c>
      <c r="E48" s="21" t="s">
        <v>30</v>
      </c>
      <c r="F48" s="22">
        <v>4</v>
      </c>
      <c r="G48" s="65">
        <f t="shared" si="8"/>
        <v>985.59999999999991</v>
      </c>
      <c r="H48" s="66">
        <f>176*140%</f>
        <v>246.39999999999998</v>
      </c>
      <c r="I48" s="65">
        <f t="shared" si="9"/>
        <v>901.82400000000007</v>
      </c>
      <c r="J48" s="66">
        <f>(146.4+146.4*10%)*140%</f>
        <v>225.45600000000002</v>
      </c>
      <c r="K48" s="65">
        <f t="shared" si="10"/>
        <v>819.84</v>
      </c>
      <c r="L48" s="66">
        <f>146.4*140%</f>
        <v>204.96</v>
      </c>
      <c r="M48" s="65">
        <f t="shared" si="11"/>
        <v>779.84</v>
      </c>
      <c r="N48" s="66">
        <v>194.96</v>
      </c>
      <c r="O48" s="23">
        <v>419</v>
      </c>
      <c r="P48" s="19"/>
    </row>
    <row r="49" spans="1:16" ht="20.100000000000001" customHeight="1">
      <c r="A49" s="29"/>
      <c r="B49" s="75" t="s">
        <v>18</v>
      </c>
      <c r="C49" s="76"/>
      <c r="D49" s="25" t="s">
        <v>57</v>
      </c>
      <c r="E49" s="25" t="s">
        <v>30</v>
      </c>
      <c r="F49" s="26">
        <v>9</v>
      </c>
      <c r="G49" s="65">
        <f t="shared" si="8"/>
        <v>1152</v>
      </c>
      <c r="H49" s="67">
        <v>128</v>
      </c>
      <c r="I49" s="65">
        <f t="shared" si="9"/>
        <v>1049.3999999999999</v>
      </c>
      <c r="J49" s="67">
        <f>106+106*10%</f>
        <v>116.6</v>
      </c>
      <c r="K49" s="65">
        <f t="shared" si="10"/>
        <v>954</v>
      </c>
      <c r="L49" s="67">
        <v>106</v>
      </c>
      <c r="M49" s="65">
        <f t="shared" si="11"/>
        <v>891</v>
      </c>
      <c r="N49" s="67">
        <v>99</v>
      </c>
      <c r="O49" s="27">
        <v>218</v>
      </c>
      <c r="P49" s="19"/>
    </row>
    <row r="50" spans="1:16" ht="20.100000000000001" customHeight="1">
      <c r="A50" s="32"/>
      <c r="B50" s="86" t="s">
        <v>18</v>
      </c>
      <c r="C50" s="87"/>
      <c r="D50" s="33" t="s">
        <v>58</v>
      </c>
      <c r="E50" s="33" t="s">
        <v>30</v>
      </c>
      <c r="F50" s="34">
        <v>4</v>
      </c>
      <c r="G50" s="68">
        <f t="shared" si="8"/>
        <v>940.8</v>
      </c>
      <c r="H50" s="69">
        <f>168*140%</f>
        <v>235.2</v>
      </c>
      <c r="I50" s="68">
        <f t="shared" si="9"/>
        <v>859.93599999999992</v>
      </c>
      <c r="J50" s="69">
        <f>(139.6+139.6*10%)*140%</f>
        <v>214.98399999999998</v>
      </c>
      <c r="K50" s="68">
        <f t="shared" si="10"/>
        <v>781.75999999999988</v>
      </c>
      <c r="L50" s="69">
        <f>139.6*140%</f>
        <v>195.43999999999997</v>
      </c>
      <c r="M50" s="68">
        <f t="shared" si="11"/>
        <v>741.76</v>
      </c>
      <c r="N50" s="69">
        <v>185.44</v>
      </c>
      <c r="O50" s="23">
        <v>399</v>
      </c>
      <c r="P50" s="19"/>
    </row>
    <row r="51" spans="1:16" ht="20.100000000000001" customHeight="1">
      <c r="A51" s="12"/>
      <c r="B51" s="13" t="s">
        <v>41</v>
      </c>
      <c r="C51" s="13"/>
      <c r="D51" s="58"/>
      <c r="E51" s="13"/>
      <c r="F51" s="13"/>
      <c r="G51" s="70"/>
      <c r="H51" s="71"/>
      <c r="I51" s="70"/>
      <c r="J51" s="71"/>
      <c r="K51" s="70"/>
      <c r="L51" s="71"/>
      <c r="M51" s="70"/>
      <c r="N51" s="71"/>
      <c r="O51" s="39"/>
      <c r="P51" s="19"/>
    </row>
    <row r="52" spans="1:16" ht="20.100000000000001" customHeight="1">
      <c r="A52" s="36"/>
      <c r="B52" s="82" t="s">
        <v>19</v>
      </c>
      <c r="C52" s="83"/>
      <c r="D52" s="16" t="s">
        <v>57</v>
      </c>
      <c r="E52" s="16" t="s">
        <v>30</v>
      </c>
      <c r="F52" s="17">
        <v>9</v>
      </c>
      <c r="G52" s="63">
        <f t="shared" ref="G52:G57" si="12">F52*H52</f>
        <v>1071</v>
      </c>
      <c r="H52" s="64">
        <v>119</v>
      </c>
      <c r="I52" s="63">
        <f t="shared" ref="I52:I57" si="13">F52*J52</f>
        <v>975.15</v>
      </c>
      <c r="J52" s="64">
        <f>98.5+98.5*10%</f>
        <v>108.35</v>
      </c>
      <c r="K52" s="63">
        <f t="shared" ref="K52:K57" si="14">F52*L52</f>
        <v>886.5</v>
      </c>
      <c r="L52" s="64">
        <v>98.5</v>
      </c>
      <c r="M52" s="63">
        <f t="shared" ref="M52:M57" si="15">F52*N52</f>
        <v>810</v>
      </c>
      <c r="N52" s="64">
        <v>90</v>
      </c>
      <c r="O52" s="18">
        <v>203</v>
      </c>
      <c r="P52" s="19"/>
    </row>
    <row r="53" spans="1:16" ht="20.100000000000001" customHeight="1">
      <c r="A53" s="30"/>
      <c r="B53" s="78" t="s">
        <v>19</v>
      </c>
      <c r="C53" s="79"/>
      <c r="D53" s="21" t="s">
        <v>58</v>
      </c>
      <c r="E53" s="21" t="s">
        <v>30</v>
      </c>
      <c r="F53" s="22">
        <v>4</v>
      </c>
      <c r="G53" s="65">
        <f t="shared" si="12"/>
        <v>800.8</v>
      </c>
      <c r="H53" s="66">
        <f>143*140%</f>
        <v>200.2</v>
      </c>
      <c r="I53" s="65">
        <f t="shared" si="13"/>
        <v>730.57599999999979</v>
      </c>
      <c r="J53" s="66">
        <f>(118.6+118.6*10%)*140%</f>
        <v>182.64399999999995</v>
      </c>
      <c r="K53" s="65">
        <f t="shared" si="14"/>
        <v>664.16</v>
      </c>
      <c r="L53" s="66">
        <f>118.6*140%</f>
        <v>166.04</v>
      </c>
      <c r="M53" s="65">
        <f t="shared" si="15"/>
        <v>624.16</v>
      </c>
      <c r="N53" s="66">
        <v>156.04</v>
      </c>
      <c r="O53" s="23">
        <v>341</v>
      </c>
      <c r="P53" s="19"/>
    </row>
    <row r="54" spans="1:16" ht="20.100000000000001" customHeight="1">
      <c r="A54" s="29"/>
      <c r="B54" s="75" t="s">
        <v>20</v>
      </c>
      <c r="C54" s="76"/>
      <c r="D54" s="25" t="s">
        <v>57</v>
      </c>
      <c r="E54" s="25" t="s">
        <v>30</v>
      </c>
      <c r="F54" s="26">
        <v>9</v>
      </c>
      <c r="G54" s="65">
        <f t="shared" si="12"/>
        <v>1062</v>
      </c>
      <c r="H54" s="67">
        <v>118</v>
      </c>
      <c r="I54" s="65">
        <f t="shared" si="13"/>
        <v>969.21000000000015</v>
      </c>
      <c r="J54" s="67">
        <f>97.9+97.9*10%</f>
        <v>107.69000000000001</v>
      </c>
      <c r="K54" s="65">
        <f t="shared" si="14"/>
        <v>881.1</v>
      </c>
      <c r="L54" s="67">
        <v>97.9</v>
      </c>
      <c r="M54" s="65">
        <f t="shared" si="15"/>
        <v>801</v>
      </c>
      <c r="N54" s="67">
        <v>89</v>
      </c>
      <c r="O54" s="27">
        <v>201</v>
      </c>
      <c r="P54" s="19"/>
    </row>
    <row r="55" spans="1:16" ht="20.100000000000001" customHeight="1">
      <c r="A55" s="30"/>
      <c r="B55" s="78" t="s">
        <v>20</v>
      </c>
      <c r="C55" s="79"/>
      <c r="D55" s="21" t="s">
        <v>58</v>
      </c>
      <c r="E55" s="21" t="s">
        <v>30</v>
      </c>
      <c r="F55" s="22">
        <v>4</v>
      </c>
      <c r="G55" s="65">
        <f t="shared" si="12"/>
        <v>791.84</v>
      </c>
      <c r="H55" s="66">
        <f>141.4*140%</f>
        <v>197.96</v>
      </c>
      <c r="I55" s="65">
        <f t="shared" si="13"/>
        <v>725.64799999999991</v>
      </c>
      <c r="J55" s="66">
        <f>(117.8+117.8*10%)*140%</f>
        <v>181.41199999999998</v>
      </c>
      <c r="K55" s="65">
        <f t="shared" si="14"/>
        <v>659.68</v>
      </c>
      <c r="L55" s="66">
        <f>117.8*140%</f>
        <v>164.92</v>
      </c>
      <c r="M55" s="65">
        <f t="shared" si="15"/>
        <v>619.67999999999995</v>
      </c>
      <c r="N55" s="66">
        <v>154.91999999999999</v>
      </c>
      <c r="O55" s="23">
        <v>337</v>
      </c>
      <c r="P55" s="19"/>
    </row>
    <row r="56" spans="1:16" ht="19.5" customHeight="1">
      <c r="A56" s="29"/>
      <c r="B56" s="75" t="s">
        <v>21</v>
      </c>
      <c r="C56" s="76"/>
      <c r="D56" s="25" t="s">
        <v>57</v>
      </c>
      <c r="E56" s="25" t="s">
        <v>30</v>
      </c>
      <c r="F56" s="26">
        <v>9</v>
      </c>
      <c r="G56" s="65">
        <f t="shared" si="12"/>
        <v>1080</v>
      </c>
      <c r="H56" s="67">
        <v>120</v>
      </c>
      <c r="I56" s="65">
        <f t="shared" si="13"/>
        <v>983.06999999999994</v>
      </c>
      <c r="J56" s="67">
        <f>99.3+99.3*10%</f>
        <v>109.22999999999999</v>
      </c>
      <c r="K56" s="65">
        <f t="shared" si="14"/>
        <v>893.69999999999993</v>
      </c>
      <c r="L56" s="67">
        <v>99.3</v>
      </c>
      <c r="M56" s="65">
        <f t="shared" si="15"/>
        <v>810</v>
      </c>
      <c r="N56" s="67">
        <v>90</v>
      </c>
      <c r="O56" s="27">
        <v>204</v>
      </c>
      <c r="P56" s="19"/>
    </row>
    <row r="57" spans="1:16" ht="20.100000000000001" customHeight="1">
      <c r="A57" s="32"/>
      <c r="B57" s="86" t="s">
        <v>21</v>
      </c>
      <c r="C57" s="87"/>
      <c r="D57" s="33" t="s">
        <v>58</v>
      </c>
      <c r="E57" s="33" t="s">
        <v>30</v>
      </c>
      <c r="F57" s="34">
        <v>4</v>
      </c>
      <c r="G57" s="68">
        <f t="shared" si="12"/>
        <v>806.4</v>
      </c>
      <c r="H57" s="69">
        <f>144*140%</f>
        <v>201.6</v>
      </c>
      <c r="I57" s="68">
        <f t="shared" si="13"/>
        <v>736.11999999999989</v>
      </c>
      <c r="J57" s="69">
        <f>(119.5+119.5*10%)*140%</f>
        <v>184.02999999999997</v>
      </c>
      <c r="K57" s="68">
        <f t="shared" si="14"/>
        <v>669.19999999999993</v>
      </c>
      <c r="L57" s="69">
        <f>119.5*140%</f>
        <v>167.29999999999998</v>
      </c>
      <c r="M57" s="68">
        <f t="shared" si="15"/>
        <v>629.20000000000005</v>
      </c>
      <c r="N57" s="69">
        <v>157.30000000000001</v>
      </c>
      <c r="O57" s="23">
        <v>343</v>
      </c>
      <c r="P57" s="19"/>
    </row>
    <row r="58" spans="1:16" ht="20.100000000000001" customHeight="1">
      <c r="A58" s="12"/>
      <c r="B58" s="40" t="s">
        <v>29</v>
      </c>
      <c r="C58" s="13"/>
      <c r="D58" s="58"/>
      <c r="E58" s="13"/>
      <c r="F58" s="13"/>
      <c r="G58" s="70"/>
      <c r="H58" s="71"/>
      <c r="I58" s="70"/>
      <c r="J58" s="71"/>
      <c r="K58" s="70"/>
      <c r="L58" s="71"/>
      <c r="M58" s="70"/>
      <c r="N58" s="71"/>
      <c r="O58" s="35"/>
    </row>
    <row r="59" spans="1:16" ht="20.100000000000001" customHeight="1">
      <c r="A59" s="36"/>
      <c r="B59" s="82" t="s">
        <v>22</v>
      </c>
      <c r="C59" s="83"/>
      <c r="D59" s="16" t="s">
        <v>59</v>
      </c>
      <c r="E59" s="16" t="s">
        <v>30</v>
      </c>
      <c r="F59" s="17">
        <v>4</v>
      </c>
      <c r="G59" s="63">
        <f>F59*H59</f>
        <v>696.8</v>
      </c>
      <c r="H59" s="64">
        <v>174.2</v>
      </c>
      <c r="I59" s="63">
        <f>F59*J59</f>
        <v>643.20000000000005</v>
      </c>
      <c r="J59" s="64">
        <v>160.80000000000001</v>
      </c>
      <c r="K59" s="63">
        <f>F59*L59</f>
        <v>589.6</v>
      </c>
      <c r="L59" s="64">
        <v>147.4</v>
      </c>
      <c r="M59" s="63">
        <f>F59*N59</f>
        <v>562.79999999999995</v>
      </c>
      <c r="N59" s="64">
        <v>140.69999999999999</v>
      </c>
      <c r="O59" s="27">
        <v>295</v>
      </c>
    </row>
    <row r="60" spans="1:16" ht="20.100000000000001" customHeight="1">
      <c r="A60" s="29"/>
      <c r="B60" s="75" t="s">
        <v>23</v>
      </c>
      <c r="C60" s="76"/>
      <c r="D60" s="25" t="s">
        <v>59</v>
      </c>
      <c r="E60" s="25" t="s">
        <v>30</v>
      </c>
      <c r="F60" s="26">
        <v>4</v>
      </c>
      <c r="G60" s="65">
        <f>F60*H60</f>
        <v>977.6</v>
      </c>
      <c r="H60" s="67">
        <v>244.4</v>
      </c>
      <c r="I60" s="65">
        <f>F60*J60</f>
        <v>902.4</v>
      </c>
      <c r="J60" s="67">
        <v>225.6</v>
      </c>
      <c r="K60" s="65">
        <f>F60*L60</f>
        <v>827.2</v>
      </c>
      <c r="L60" s="67">
        <v>206.8</v>
      </c>
      <c r="M60" s="65">
        <f>F60*N60</f>
        <v>789.6</v>
      </c>
      <c r="N60" s="67">
        <v>197.4</v>
      </c>
      <c r="O60" s="42">
        <v>415</v>
      </c>
    </row>
    <row r="61" spans="1:16" ht="20.100000000000001" customHeight="1">
      <c r="A61" s="29"/>
      <c r="B61" s="75" t="s">
        <v>24</v>
      </c>
      <c r="C61" s="76"/>
      <c r="D61" s="25" t="s">
        <v>59</v>
      </c>
      <c r="E61" s="25" t="s">
        <v>30</v>
      </c>
      <c r="F61" s="26">
        <v>4</v>
      </c>
      <c r="G61" s="65">
        <f>F61*H61</f>
        <v>962</v>
      </c>
      <c r="H61" s="67">
        <v>240.5</v>
      </c>
      <c r="I61" s="65">
        <f>F61*J61</f>
        <v>888</v>
      </c>
      <c r="J61" s="67">
        <v>222</v>
      </c>
      <c r="K61" s="65">
        <f>F61*L61</f>
        <v>814</v>
      </c>
      <c r="L61" s="67">
        <v>203.5</v>
      </c>
      <c r="M61" s="65">
        <f>F61*N61</f>
        <v>776.8</v>
      </c>
      <c r="N61" s="67">
        <v>194.2</v>
      </c>
      <c r="O61" s="27">
        <v>408</v>
      </c>
    </row>
    <row r="62" spans="1:16" ht="20.100000000000001" customHeight="1">
      <c r="A62" s="29"/>
      <c r="B62" s="75" t="s">
        <v>25</v>
      </c>
      <c r="C62" s="76"/>
      <c r="D62" s="25" t="s">
        <v>59</v>
      </c>
      <c r="E62" s="25" t="s">
        <v>30</v>
      </c>
      <c r="F62" s="26">
        <v>4</v>
      </c>
      <c r="G62" s="65">
        <f>F62*H62</f>
        <v>977.6</v>
      </c>
      <c r="H62" s="67">
        <v>244.4</v>
      </c>
      <c r="I62" s="65">
        <f>F62*J62</f>
        <v>902.4</v>
      </c>
      <c r="J62" s="67">
        <v>225.6</v>
      </c>
      <c r="K62" s="65">
        <f>F62*L62</f>
        <v>827.2</v>
      </c>
      <c r="L62" s="67">
        <v>206.8</v>
      </c>
      <c r="M62" s="65">
        <f>F62*N62</f>
        <v>789.6</v>
      </c>
      <c r="N62" s="67">
        <v>197.4</v>
      </c>
      <c r="O62" s="27">
        <v>415</v>
      </c>
    </row>
    <row r="63" spans="1:16" ht="20.100000000000001" customHeight="1">
      <c r="A63" s="43"/>
      <c r="B63" s="110" t="s">
        <v>26</v>
      </c>
      <c r="C63" s="111"/>
      <c r="D63" s="44" t="s">
        <v>59</v>
      </c>
      <c r="E63" s="44" t="s">
        <v>30</v>
      </c>
      <c r="F63" s="45">
        <v>4</v>
      </c>
      <c r="G63" s="68">
        <f>F63*H63</f>
        <v>1112.8</v>
      </c>
      <c r="H63" s="72">
        <v>278.2</v>
      </c>
      <c r="I63" s="68">
        <f>F63*J63</f>
        <v>1027.2</v>
      </c>
      <c r="J63" s="72">
        <v>256.8</v>
      </c>
      <c r="K63" s="68">
        <f>F63*L63</f>
        <v>941.6</v>
      </c>
      <c r="L63" s="72">
        <v>235.4</v>
      </c>
      <c r="M63" s="68">
        <f>F63*N63</f>
        <v>898.8</v>
      </c>
      <c r="N63" s="72">
        <v>224.7</v>
      </c>
      <c r="O63" s="42">
        <v>473</v>
      </c>
    </row>
    <row r="64" spans="1:16" ht="20.100000000000001" customHeight="1">
      <c r="A64" s="12"/>
      <c r="B64" s="46" t="s">
        <v>56</v>
      </c>
      <c r="C64" s="13"/>
      <c r="D64" s="13"/>
      <c r="E64" s="13"/>
      <c r="F64" s="13"/>
      <c r="G64" s="70"/>
      <c r="H64" s="71"/>
      <c r="I64" s="70"/>
      <c r="J64" s="71"/>
      <c r="K64" s="70"/>
      <c r="L64" s="71"/>
      <c r="M64" s="70"/>
      <c r="N64" s="71"/>
      <c r="O64" s="35"/>
      <c r="P64" s="47"/>
    </row>
    <row r="65" spans="1:17" ht="20.100000000000001" customHeight="1">
      <c r="A65" s="36"/>
      <c r="B65" s="82" t="s">
        <v>49</v>
      </c>
      <c r="C65" s="83"/>
      <c r="D65" s="16" t="s">
        <v>50</v>
      </c>
      <c r="E65" s="16" t="s">
        <v>51</v>
      </c>
      <c r="F65" s="17">
        <v>4</v>
      </c>
      <c r="G65" s="63">
        <f>F65*H65</f>
        <v>473.6</v>
      </c>
      <c r="H65" s="64">
        <v>118.4</v>
      </c>
      <c r="I65" s="63">
        <f>F65*J65</f>
        <v>453.2</v>
      </c>
      <c r="J65" s="64">
        <v>113.3</v>
      </c>
      <c r="K65" s="63">
        <f>F65*L65</f>
        <v>432.8</v>
      </c>
      <c r="L65" s="64">
        <v>108.2</v>
      </c>
      <c r="M65" s="63">
        <f>F65*N65</f>
        <v>412</v>
      </c>
      <c r="N65" s="64">
        <v>103</v>
      </c>
      <c r="O65" s="27">
        <v>199</v>
      </c>
    </row>
    <row r="66" spans="1:17" ht="20.100000000000001" customHeight="1">
      <c r="A66" s="29"/>
      <c r="B66" s="82" t="s">
        <v>52</v>
      </c>
      <c r="C66" s="83"/>
      <c r="D66" s="16" t="s">
        <v>50</v>
      </c>
      <c r="E66" s="16" t="s">
        <v>51</v>
      </c>
      <c r="F66" s="17">
        <v>4</v>
      </c>
      <c r="G66" s="65">
        <f>F66*H66</f>
        <v>620</v>
      </c>
      <c r="H66" s="64">
        <v>155</v>
      </c>
      <c r="I66" s="65">
        <f>F66*J66</f>
        <v>594</v>
      </c>
      <c r="J66" s="64">
        <v>148.5</v>
      </c>
      <c r="K66" s="65">
        <f>F66*L66</f>
        <v>567.20000000000005</v>
      </c>
      <c r="L66" s="64">
        <v>141.80000000000001</v>
      </c>
      <c r="M66" s="65">
        <f>F66*N66</f>
        <v>540</v>
      </c>
      <c r="N66" s="64">
        <v>135</v>
      </c>
      <c r="O66" s="42">
        <v>259</v>
      </c>
    </row>
    <row r="67" spans="1:17" ht="20.100000000000001" customHeight="1">
      <c r="A67" s="29"/>
      <c r="B67" s="82" t="s">
        <v>53</v>
      </c>
      <c r="C67" s="83"/>
      <c r="D67" s="16" t="s">
        <v>50</v>
      </c>
      <c r="E67" s="16" t="s">
        <v>51</v>
      </c>
      <c r="F67" s="17">
        <v>4</v>
      </c>
      <c r="G67" s="65">
        <f>F67*H67</f>
        <v>446</v>
      </c>
      <c r="H67" s="64">
        <v>111.5</v>
      </c>
      <c r="I67" s="65">
        <f>F67*J67</f>
        <v>426.8</v>
      </c>
      <c r="J67" s="64">
        <v>106.7</v>
      </c>
      <c r="K67" s="65">
        <f>F67*L67</f>
        <v>407.6</v>
      </c>
      <c r="L67" s="64">
        <v>101.9</v>
      </c>
      <c r="M67" s="65">
        <f>F67*N67</f>
        <v>388</v>
      </c>
      <c r="N67" s="64">
        <v>97</v>
      </c>
      <c r="O67" s="27">
        <v>189</v>
      </c>
    </row>
    <row r="68" spans="1:17" ht="20.100000000000001" customHeight="1">
      <c r="A68" s="29"/>
      <c r="B68" s="82" t="s">
        <v>54</v>
      </c>
      <c r="C68" s="83"/>
      <c r="D68" s="16" t="s">
        <v>50</v>
      </c>
      <c r="E68" s="16" t="s">
        <v>51</v>
      </c>
      <c r="F68" s="17">
        <v>4</v>
      </c>
      <c r="G68" s="65">
        <f>F68*H68</f>
        <v>473.6</v>
      </c>
      <c r="H68" s="67">
        <v>118.4</v>
      </c>
      <c r="I68" s="65">
        <f>F68*J68</f>
        <v>453.2</v>
      </c>
      <c r="J68" s="67">
        <v>113.3</v>
      </c>
      <c r="K68" s="65">
        <f>F68*L68</f>
        <v>432.8</v>
      </c>
      <c r="L68" s="67">
        <v>108.2</v>
      </c>
      <c r="M68" s="65">
        <f>F68*N68</f>
        <v>412</v>
      </c>
      <c r="N68" s="67">
        <v>103</v>
      </c>
      <c r="O68" s="48">
        <v>199</v>
      </c>
    </row>
    <row r="69" spans="1:17" ht="20.100000000000001" customHeight="1" thickBot="1">
      <c r="A69" s="49"/>
      <c r="B69" s="88" t="s">
        <v>55</v>
      </c>
      <c r="C69" s="89"/>
      <c r="D69" s="50" t="s">
        <v>50</v>
      </c>
      <c r="E69" s="50" t="s">
        <v>51</v>
      </c>
      <c r="F69" s="51">
        <v>4</v>
      </c>
      <c r="G69" s="73">
        <f>F69*H69</f>
        <v>400</v>
      </c>
      <c r="H69" s="74">
        <v>100</v>
      </c>
      <c r="I69" s="73">
        <f>F69*J69</f>
        <v>382.8</v>
      </c>
      <c r="J69" s="74">
        <v>95.7</v>
      </c>
      <c r="K69" s="73">
        <f>F69*L69</f>
        <v>365.6</v>
      </c>
      <c r="L69" s="74">
        <v>91.4</v>
      </c>
      <c r="M69" s="73">
        <f>F69*N69</f>
        <v>348</v>
      </c>
      <c r="N69" s="74">
        <v>87</v>
      </c>
      <c r="O69" s="52">
        <v>169</v>
      </c>
    </row>
    <row r="70" spans="1:17" ht="20.100000000000001" customHeight="1">
      <c r="C70" s="31"/>
      <c r="N70" s="56"/>
      <c r="O70" s="56"/>
      <c r="Q70" s="41"/>
    </row>
    <row r="71" spans="1:17" ht="20.100000000000001" customHeight="1">
      <c r="N71" s="56"/>
      <c r="O71" s="56"/>
      <c r="Q71" s="41"/>
    </row>
    <row r="72" spans="1:17" ht="20.100000000000001" customHeight="1">
      <c r="N72" s="56"/>
      <c r="O72" s="56"/>
      <c r="Q72" s="41"/>
    </row>
    <row r="73" spans="1:17" ht="20.100000000000001" customHeight="1">
      <c r="N73" s="56"/>
      <c r="O73" s="56"/>
      <c r="Q73" s="41"/>
    </row>
    <row r="74" spans="1:17" ht="20.100000000000001" customHeight="1">
      <c r="Q74" s="41"/>
    </row>
    <row r="75" spans="1:17" ht="20.100000000000001" customHeight="1">
      <c r="Q75" s="41"/>
    </row>
    <row r="76" spans="1:17" ht="20.100000000000001" customHeight="1">
      <c r="Q76" s="41"/>
    </row>
    <row r="77" spans="1:17" ht="20.100000000000001" customHeight="1">
      <c r="Q77" s="41"/>
    </row>
    <row r="78" spans="1:17" ht="20.100000000000001" customHeight="1">
      <c r="Q78" s="41"/>
    </row>
    <row r="79" spans="1:17" ht="20.100000000000001" customHeight="1">
      <c r="Q79" s="41"/>
    </row>
    <row r="80" spans="1:17" ht="20.100000000000001" customHeight="1">
      <c r="Q80" s="41"/>
    </row>
    <row r="81" spans="17:17" ht="20.100000000000001" customHeight="1">
      <c r="Q81" s="41"/>
    </row>
    <row r="82" spans="17:17" ht="20.100000000000001" customHeight="1">
      <c r="Q82" s="41"/>
    </row>
    <row r="83" spans="17:17" ht="20.100000000000001" customHeight="1">
      <c r="Q83" s="41"/>
    </row>
    <row r="84" spans="17:17" ht="20.100000000000001" customHeight="1"/>
    <row r="85" spans="17:17" ht="20.100000000000001" customHeight="1"/>
    <row r="86" spans="17:17" ht="20.100000000000001" customHeight="1"/>
    <row r="87" spans="17:17" ht="20.100000000000001" customHeight="1"/>
    <row r="88" spans="17:17" ht="20.100000000000001" customHeight="1"/>
    <row r="89" spans="17:17" ht="20.100000000000001" customHeight="1"/>
    <row r="90" spans="17:17" ht="20.100000000000001" customHeight="1"/>
    <row r="91" spans="17:17" ht="20.100000000000001" customHeight="1"/>
    <row r="92" spans="17:17" ht="20.100000000000001" customHeight="1"/>
    <row r="93" spans="17:17" ht="20.100000000000001" customHeight="1"/>
    <row r="94" spans="17:17" ht="20.100000000000001" customHeight="1"/>
    <row r="95" spans="17:17" ht="20.100000000000001" customHeight="1"/>
    <row r="96" spans="17:17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</sheetData>
  <sheetProtection password="C539" sheet="1" objects="1" scenarios="1" selectLockedCells="1"/>
  <protectedRanges>
    <protectedRange sqref="N1:O3 M13:M32 M59:M63 M52:M57 M43:M50 M34:M41 P13:P57" name="Диапазон2"/>
    <protectedRange sqref="N1:N5 N7:N8 G11 I11 K11 M11 M64:M69 P5:Q5 N70:N65144" name="Диапазон15"/>
  </protectedRanges>
  <mergeCells count="62">
    <mergeCell ref="B69:C69"/>
    <mergeCell ref="A1:O5"/>
    <mergeCell ref="B65:C65"/>
    <mergeCell ref="B66:C66"/>
    <mergeCell ref="A9:O9"/>
    <mergeCell ref="A8:O8"/>
    <mergeCell ref="A7:O7"/>
    <mergeCell ref="A6:O6"/>
    <mergeCell ref="K10:L10"/>
    <mergeCell ref="I10:J10"/>
    <mergeCell ref="G10:H10"/>
    <mergeCell ref="M10:N10"/>
    <mergeCell ref="B63:C63"/>
    <mergeCell ref="B49:C49"/>
    <mergeCell ref="B62:C62"/>
    <mergeCell ref="B50:C50"/>
    <mergeCell ref="B67:C67"/>
    <mergeCell ref="B68:C68"/>
    <mergeCell ref="B26:C26"/>
    <mergeCell ref="B22:C22"/>
    <mergeCell ref="B43:C43"/>
    <mergeCell ref="B39:C39"/>
    <mergeCell ref="B40:C40"/>
    <mergeCell ref="B34:C34"/>
    <mergeCell ref="B24:C24"/>
    <mergeCell ref="B32:C32"/>
    <mergeCell ref="B38:C38"/>
    <mergeCell ref="B47:C47"/>
    <mergeCell ref="B41:C41"/>
    <mergeCell ref="B28:C28"/>
    <mergeCell ref="B27:C27"/>
    <mergeCell ref="B59:C59"/>
    <mergeCell ref="B60:C60"/>
    <mergeCell ref="B61:C61"/>
    <mergeCell ref="B36:C36"/>
    <mergeCell ref="B35:C35"/>
    <mergeCell ref="B31:C31"/>
    <mergeCell ref="B44:C44"/>
    <mergeCell ref="B45:C45"/>
    <mergeCell ref="B46:C46"/>
    <mergeCell ref="B57:C57"/>
    <mergeCell ref="B55:C55"/>
    <mergeCell ref="B30:C30"/>
    <mergeCell ref="B29:C29"/>
    <mergeCell ref="B52:C52"/>
    <mergeCell ref="B56:C56"/>
    <mergeCell ref="B54:C54"/>
    <mergeCell ref="B53:C53"/>
    <mergeCell ref="B37:C37"/>
    <mergeCell ref="B48:C48"/>
    <mergeCell ref="B23:C23"/>
    <mergeCell ref="B25:C25"/>
    <mergeCell ref="B21:C21"/>
    <mergeCell ref="B11:C11"/>
    <mergeCell ref="B19:C19"/>
    <mergeCell ref="B16:C16"/>
    <mergeCell ref="B17:C17"/>
    <mergeCell ref="B20:C20"/>
    <mergeCell ref="B13:C13"/>
    <mergeCell ref="B15:C15"/>
    <mergeCell ref="B14:C14"/>
    <mergeCell ref="B18:C18"/>
  </mergeCells>
  <phoneticPr fontId="0" type="noConversion"/>
  <pageMargins left="0.25" right="0.25" top="0.75" bottom="0.75" header="0.3" footer="0.3"/>
  <pageSetup paperSize="9" scale="51" fitToHeight="3" orientation="portrait" horizontalDpi="4294967293" r:id="rId1"/>
  <headerFooter alignWithMargins="0">
    <oddFooter>&amp;R&amp;P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Прайс</vt:lpstr>
      <vt:lpstr>Прайс!Заголовки_для_печати</vt:lpstr>
    </vt:vector>
  </TitlesOfParts>
  <Company>splat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Суворова</dc:creator>
  <cp:lastModifiedBy>admin</cp:lastModifiedBy>
  <cp:lastPrinted>2019-06-22T11:10:47Z</cp:lastPrinted>
  <dcterms:created xsi:type="dcterms:W3CDTF">2008-07-15T13:55:36Z</dcterms:created>
  <dcterms:modified xsi:type="dcterms:W3CDTF">2019-06-25T16:44:42Z</dcterms:modified>
</cp:coreProperties>
</file>