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Z:\Общие документы\Прайс\"/>
    </mc:Choice>
  </mc:AlternateContent>
  <bookViews>
    <workbookView xWindow="0" yWindow="0" windowWidth="15345" windowHeight="4635" firstSheet="8" activeTab="8"/>
  </bookViews>
  <sheets>
    <sheet name="Прайс 2014" sheetId="13" state="hidden" r:id="rId1"/>
    <sheet name="Прайс 1.1.2015" sheetId="15" state="hidden" r:id="rId2"/>
    <sheet name="Примечание" sheetId="14" state="hidden" r:id="rId3"/>
    <sheet name="Разд. с раков." sheetId="16" state="hidden" r:id="rId4"/>
    <sheet name="Январь" sheetId="17" state="hidden" r:id="rId5"/>
    <sheet name="Февраль" sheetId="18" state="hidden" r:id="rId6"/>
    <sheet name="Февраль 35-40%" sheetId="20" state="hidden" r:id="rId7"/>
    <sheet name="Март" sheetId="22" state="hidden" r:id="rId8"/>
    <sheet name="Регион" sheetId="23" r:id="rId9"/>
    <sheet name=" Комплектация зеркал" sheetId="24" r:id="rId10"/>
  </sheets>
  <definedNames>
    <definedName name="_xlnm._FilterDatabase" localSheetId="0" hidden="1">'Прайс 2014'!$A$3:$A$249</definedName>
    <definedName name="_xlnm._FilterDatabase" localSheetId="3" hidden="1">'Разд. с раков.'!$A$3:$Z$190</definedName>
    <definedName name="_xlnm._FilterDatabase" localSheetId="8" hidden="1">Регион!$A$3:$J$381</definedName>
    <definedName name="_xlnm.Print_Titles" localSheetId="4">Январь!$A:$Z,Январь!$3:$3</definedName>
    <definedName name="_xlnm.Print_Area" localSheetId="1">'Прайс 1.1.2015'!$A$1:$U$206</definedName>
    <definedName name="_xlnm.Print_Area" localSheetId="0">'Прайс 2014'!$A$1:$O$286</definedName>
    <definedName name="_xlnm.Print_Area" localSheetId="3">'Разд. с раков.'!$A$1:$Z$168</definedName>
    <definedName name="_xlnm.Print_Area" localSheetId="8">Регион!$A$1:$J$368</definedName>
    <definedName name="_xlnm.Print_Area" localSheetId="6">'Февраль 35-40%'!$A$1:$K$232</definedName>
    <definedName name="_xlnm.Print_Area" localSheetId="4">Январь!$A$1:$Z$208</definedName>
  </definedNames>
  <calcPr calcId="152511" refMode="R1C1"/>
  <customWorkbookViews>
    <customWorkbookView name="user14 - Личное представление" guid="{BC77599A-A77E-41EE-83D0-CA97660C5772}" mergeInterval="0" personalView="1" maximized="1" windowWidth="1276" windowHeight="852" activeSheetId="5"/>
  </customWorkbookViews>
  <fileRecoveryPr autoRecover="0"/>
</workbook>
</file>

<file path=xl/calcChain.xml><?xml version="1.0" encoding="utf-8"?>
<calcChain xmlns="http://schemas.openxmlformats.org/spreadsheetml/2006/main">
  <c r="F6" i="22" l="1"/>
  <c r="G6" i="22"/>
  <c r="H6" i="22"/>
  <c r="F7" i="22"/>
  <c r="G7" i="22"/>
  <c r="H7" i="22"/>
  <c r="F8" i="22"/>
  <c r="H8" i="22"/>
  <c r="G8" i="22" s="1"/>
  <c r="I9" i="22"/>
  <c r="H9" i="22"/>
  <c r="I10" i="22"/>
  <c r="H10" i="22" s="1"/>
  <c r="I11" i="22"/>
  <c r="H11" i="22"/>
  <c r="I12" i="22"/>
  <c r="H12" i="22" s="1"/>
  <c r="K12" i="22" s="1"/>
  <c r="I13" i="22"/>
  <c r="H13" i="22" s="1"/>
  <c r="G13" i="22" s="1"/>
  <c r="I14" i="22"/>
  <c r="H14" i="22" s="1"/>
  <c r="I15" i="22"/>
  <c r="H15" i="22" s="1"/>
  <c r="F16" i="22"/>
  <c r="I16" i="22"/>
  <c r="H16" i="22"/>
  <c r="G16" i="22" s="1"/>
  <c r="G17" i="22"/>
  <c r="I17" i="22"/>
  <c r="H17" i="22"/>
  <c r="E17" i="22" s="1"/>
  <c r="I18" i="22"/>
  <c r="H18" i="22"/>
  <c r="I19" i="22"/>
  <c r="H19" i="22"/>
  <c r="I20" i="22"/>
  <c r="H20" i="22"/>
  <c r="G20" i="22" s="1"/>
  <c r="I21" i="22"/>
  <c r="H21" i="22" s="1"/>
  <c r="I22" i="22"/>
  <c r="H22" i="22"/>
  <c r="F22" i="22" s="1"/>
  <c r="I23" i="22"/>
  <c r="H23" i="22"/>
  <c r="F23" i="22" s="1"/>
  <c r="H24" i="22"/>
  <c r="I24" i="22"/>
  <c r="I25" i="22"/>
  <c r="H25" i="22"/>
  <c r="K25" i="22" s="1"/>
  <c r="H26" i="22"/>
  <c r="K26" i="22"/>
  <c r="G27" i="22"/>
  <c r="H27" i="22"/>
  <c r="F28" i="22"/>
  <c r="H28" i="22"/>
  <c r="H29" i="22"/>
  <c r="F29" i="22" s="1"/>
  <c r="I31" i="22"/>
  <c r="H31" i="22" s="1"/>
  <c r="I32" i="22"/>
  <c r="H32" i="22" s="1"/>
  <c r="E33" i="22"/>
  <c r="I33" i="22"/>
  <c r="H33" i="22" s="1"/>
  <c r="I34" i="22"/>
  <c r="H34" i="22" s="1"/>
  <c r="I35" i="22"/>
  <c r="H35" i="22"/>
  <c r="I36" i="22"/>
  <c r="H36" i="22" s="1"/>
  <c r="E36" i="22" s="1"/>
  <c r="K36" i="22"/>
  <c r="E37" i="22"/>
  <c r="I37" i="22"/>
  <c r="H37" i="22"/>
  <c r="E38" i="22"/>
  <c r="G38" i="22"/>
  <c r="I38" i="22"/>
  <c r="H38" i="22"/>
  <c r="F38" i="22"/>
  <c r="K38" i="22"/>
  <c r="I39" i="22"/>
  <c r="H39" i="22" s="1"/>
  <c r="I40" i="22"/>
  <c r="H40" i="22"/>
  <c r="I41" i="22"/>
  <c r="H41" i="22" s="1"/>
  <c r="I42" i="22"/>
  <c r="H42" i="22" s="1"/>
  <c r="I43" i="22"/>
  <c r="H43" i="22"/>
  <c r="I44" i="22"/>
  <c r="H44" i="22"/>
  <c r="K44" i="22" s="1"/>
  <c r="I45" i="22"/>
  <c r="H45" i="22"/>
  <c r="E46" i="22"/>
  <c r="I46" i="22"/>
  <c r="H46" i="22"/>
  <c r="F46" i="22"/>
  <c r="K46" i="22"/>
  <c r="I47" i="22"/>
  <c r="H47" i="22" s="1"/>
  <c r="G47" i="22" s="1"/>
  <c r="F48" i="22"/>
  <c r="I48" i="22"/>
  <c r="H48" i="22"/>
  <c r="G48" i="22" s="1"/>
  <c r="I49" i="22"/>
  <c r="H49" i="22" s="1"/>
  <c r="G49" i="22" s="1"/>
  <c r="I50" i="22"/>
  <c r="H50" i="22"/>
  <c r="I51" i="22"/>
  <c r="H51" i="22"/>
  <c r="I52" i="22"/>
  <c r="H52" i="22"/>
  <c r="F52" i="22" s="1"/>
  <c r="H53" i="22"/>
  <c r="I53" i="22"/>
  <c r="I54" i="22"/>
  <c r="H54" i="22"/>
  <c r="I55" i="22"/>
  <c r="H55" i="22" s="1"/>
  <c r="F56" i="22"/>
  <c r="I56" i="22"/>
  <c r="H56" i="22"/>
  <c r="H57" i="22"/>
  <c r="I57" i="22"/>
  <c r="I58" i="22"/>
  <c r="H58" i="22" s="1"/>
  <c r="E59" i="22"/>
  <c r="I59" i="22"/>
  <c r="H59" i="22" s="1"/>
  <c r="I60" i="22"/>
  <c r="H60" i="22" s="1"/>
  <c r="K60" i="22"/>
  <c r="I61" i="22"/>
  <c r="H61" i="22" s="1"/>
  <c r="E61" i="22" s="1"/>
  <c r="I62" i="22"/>
  <c r="H62" i="22"/>
  <c r="I63" i="22"/>
  <c r="H63" i="22" s="1"/>
  <c r="G63" i="22" s="1"/>
  <c r="I64" i="22"/>
  <c r="H64" i="22" s="1"/>
  <c r="I65" i="22"/>
  <c r="H65" i="22" s="1"/>
  <c r="E65" i="22" s="1"/>
  <c r="I66" i="22"/>
  <c r="H66" i="22" s="1"/>
  <c r="G67" i="22"/>
  <c r="I67" i="22"/>
  <c r="H67" i="22" s="1"/>
  <c r="E68" i="22"/>
  <c r="I68" i="22"/>
  <c r="H68" i="22"/>
  <c r="F68" i="22" s="1"/>
  <c r="G68" i="22"/>
  <c r="I69" i="22"/>
  <c r="H69" i="22" s="1"/>
  <c r="I70" i="22"/>
  <c r="H70" i="22" s="1"/>
  <c r="H71" i="22"/>
  <c r="I71" i="22"/>
  <c r="I72" i="22"/>
  <c r="H72" i="22"/>
  <c r="K72" i="22" s="1"/>
  <c r="I73" i="22"/>
  <c r="H73" i="22" s="1"/>
  <c r="I74" i="22"/>
  <c r="H74" i="22" s="1"/>
  <c r="H75" i="22"/>
  <c r="I75" i="22"/>
  <c r="I76" i="22"/>
  <c r="H76" i="22"/>
  <c r="E77" i="22"/>
  <c r="I77" i="22"/>
  <c r="H77" i="22" s="1"/>
  <c r="F77" i="22" s="1"/>
  <c r="K77" i="22"/>
  <c r="I78" i="22"/>
  <c r="H78" i="22"/>
  <c r="H79" i="22"/>
  <c r="G79" i="22" s="1"/>
  <c r="I79" i="22"/>
  <c r="I80" i="22"/>
  <c r="H80" i="22" s="1"/>
  <c r="G80" i="22" s="1"/>
  <c r="F81" i="22"/>
  <c r="H81" i="22"/>
  <c r="I81" i="22"/>
  <c r="I82" i="22"/>
  <c r="H82" i="22" s="1"/>
  <c r="G83" i="22"/>
  <c r="I83" i="22"/>
  <c r="H83" i="22" s="1"/>
  <c r="I84" i="22"/>
  <c r="H84" i="22"/>
  <c r="H85" i="22"/>
  <c r="I85" i="22"/>
  <c r="H86" i="22"/>
  <c r="I86" i="22"/>
  <c r="G87" i="22"/>
  <c r="I87" i="22"/>
  <c r="H87" i="22" s="1"/>
  <c r="E88" i="22"/>
  <c r="I88" i="22"/>
  <c r="H88" i="22"/>
  <c r="F88" i="22" s="1"/>
  <c r="I89" i="22"/>
  <c r="H89" i="22" s="1"/>
  <c r="F89" i="22" s="1"/>
  <c r="H90" i="22"/>
  <c r="K90" i="22" s="1"/>
  <c r="I90" i="22"/>
  <c r="I91" i="22"/>
  <c r="H91" i="22" s="1"/>
  <c r="G91" i="22" s="1"/>
  <c r="I92" i="22"/>
  <c r="H92" i="22" s="1"/>
  <c r="I93" i="22"/>
  <c r="H93" i="22" s="1"/>
  <c r="H94" i="22"/>
  <c r="I94" i="22"/>
  <c r="H95" i="22"/>
  <c r="G95" i="22" s="1"/>
  <c r="I95" i="22"/>
  <c r="E96" i="22"/>
  <c r="I96" i="22"/>
  <c r="H96" i="22"/>
  <c r="F96" i="22" s="1"/>
  <c r="H97" i="22"/>
  <c r="F97" i="22" s="1"/>
  <c r="I97" i="22"/>
  <c r="H98" i="22"/>
  <c r="I98" i="22"/>
  <c r="I99" i="22"/>
  <c r="H99" i="22" s="1"/>
  <c r="G99" i="22" s="1"/>
  <c r="F100" i="22"/>
  <c r="I100" i="22"/>
  <c r="H100" i="22" s="1"/>
  <c r="I101" i="22"/>
  <c r="H101" i="22" s="1"/>
  <c r="H102" i="22"/>
  <c r="I102" i="22"/>
  <c r="H103" i="22"/>
  <c r="G103" i="22" s="1"/>
  <c r="I103" i="22"/>
  <c r="I104" i="22"/>
  <c r="H104" i="22"/>
  <c r="F105" i="22"/>
  <c r="I105" i="22"/>
  <c r="H105" i="22" s="1"/>
  <c r="I106" i="22"/>
  <c r="H106" i="22" s="1"/>
  <c r="G107" i="22"/>
  <c r="H107" i="22"/>
  <c r="I107" i="22"/>
  <c r="E108" i="22"/>
  <c r="F108" i="22"/>
  <c r="I108" i="22"/>
  <c r="H108" i="22" s="1"/>
  <c r="G108" i="22"/>
  <c r="I109" i="22"/>
  <c r="H109" i="22" s="1"/>
  <c r="K109" i="22" s="1"/>
  <c r="I110" i="22"/>
  <c r="H110" i="22" s="1"/>
  <c r="G111" i="22"/>
  <c r="H111" i="22"/>
  <c r="I111" i="22"/>
  <c r="F112" i="22"/>
  <c r="I112" i="22"/>
  <c r="H112" i="22" s="1"/>
  <c r="E112" i="22" s="1"/>
  <c r="H113" i="22"/>
  <c r="F113" i="22" s="1"/>
  <c r="I113" i="22"/>
  <c r="H114" i="22"/>
  <c r="I114" i="22"/>
  <c r="I115" i="22"/>
  <c r="H115" i="22" s="1"/>
  <c r="G115" i="22" s="1"/>
  <c r="I116" i="22"/>
  <c r="H116" i="22"/>
  <c r="F116" i="22" s="1"/>
  <c r="G116" i="22"/>
  <c r="H117" i="22"/>
  <c r="I117" i="22"/>
  <c r="I118" i="22"/>
  <c r="H118" i="22" s="1"/>
  <c r="I119" i="22"/>
  <c r="H119" i="22" s="1"/>
  <c r="G119" i="22" s="1"/>
  <c r="F120" i="22"/>
  <c r="I120" i="22"/>
  <c r="H120" i="22"/>
  <c r="E120" i="22" s="1"/>
  <c r="F121" i="22"/>
  <c r="I121" i="22"/>
  <c r="H121" i="22" s="1"/>
  <c r="H122" i="22"/>
  <c r="I122" i="22"/>
  <c r="I123" i="22"/>
  <c r="H123" i="22" s="1"/>
  <c r="G123" i="22" s="1"/>
  <c r="I124" i="22"/>
  <c r="H124" i="22"/>
  <c r="H125" i="22"/>
  <c r="I125" i="22"/>
  <c r="H126" i="22"/>
  <c r="I126" i="22"/>
  <c r="G127" i="22"/>
  <c r="H127" i="22"/>
  <c r="E128" i="22"/>
  <c r="F128" i="22"/>
  <c r="G128" i="22"/>
  <c r="H128" i="22"/>
  <c r="K128" i="22"/>
  <c r="F129" i="22"/>
  <c r="H129" i="22"/>
  <c r="I129" i="22"/>
  <c r="I130" i="22"/>
  <c r="H130" i="22" s="1"/>
  <c r="E131" i="22"/>
  <c r="I131" i="22"/>
  <c r="H131" i="22" s="1"/>
  <c r="K131" i="22"/>
  <c r="G132" i="22"/>
  <c r="I132" i="22"/>
  <c r="H132" i="22" s="1"/>
  <c r="F133" i="22"/>
  <c r="G133" i="22"/>
  <c r="I133" i="22"/>
  <c r="H133" i="22" s="1"/>
  <c r="E133" i="22" s="1"/>
  <c r="H134" i="22"/>
  <c r="I134" i="22"/>
  <c r="I135" i="22"/>
  <c r="H135" i="22" s="1"/>
  <c r="K135" i="22" s="1"/>
  <c r="H136" i="22"/>
  <c r="G136" i="22" s="1"/>
  <c r="E137" i="22"/>
  <c r="G137" i="22"/>
  <c r="H137" i="22"/>
  <c r="F137" i="22" s="1"/>
  <c r="K137" i="22"/>
  <c r="H138" i="22"/>
  <c r="G139" i="22"/>
  <c r="H139" i="22"/>
  <c r="H140" i="22"/>
  <c r="H141" i="22"/>
  <c r="G141" i="22" s="1"/>
  <c r="K141" i="22"/>
  <c r="F143" i="22"/>
  <c r="H143" i="22"/>
  <c r="K143" i="22"/>
  <c r="G144" i="22"/>
  <c r="H144" i="22"/>
  <c r="I144" i="22"/>
  <c r="F145" i="22"/>
  <c r="G145" i="22"/>
  <c r="I145" i="22"/>
  <c r="H145" i="22" s="1"/>
  <c r="I146" i="22"/>
  <c r="H146" i="22" s="1"/>
  <c r="G146" i="22" s="1"/>
  <c r="I147" i="22"/>
  <c r="H147" i="22" s="1"/>
  <c r="E147" i="22" s="1"/>
  <c r="K147" i="22"/>
  <c r="I148" i="22"/>
  <c r="H148" i="22"/>
  <c r="F149" i="22"/>
  <c r="I149" i="22"/>
  <c r="H149" i="22" s="1"/>
  <c r="I150" i="22"/>
  <c r="H150" i="22"/>
  <c r="I151" i="22"/>
  <c r="H151" i="22" s="1"/>
  <c r="I152" i="22"/>
  <c r="H152" i="22"/>
  <c r="F153" i="22"/>
  <c r="I153" i="22"/>
  <c r="H153" i="22" s="1"/>
  <c r="G153" i="22" s="1"/>
  <c r="H154" i="22"/>
  <c r="I154" i="22"/>
  <c r="I155" i="22"/>
  <c r="H155" i="22" s="1"/>
  <c r="I156" i="22"/>
  <c r="H156" i="22" s="1"/>
  <c r="I157" i="22"/>
  <c r="H157" i="22" s="1"/>
  <c r="E157" i="22" s="1"/>
  <c r="G157" i="22"/>
  <c r="E158" i="22"/>
  <c r="H158" i="22"/>
  <c r="I158" i="22"/>
  <c r="G159" i="22"/>
  <c r="I159" i="22"/>
  <c r="H159" i="22" s="1"/>
  <c r="I160" i="22"/>
  <c r="H160" i="22"/>
  <c r="I161" i="22"/>
  <c r="H161" i="22" s="1"/>
  <c r="H162" i="22"/>
  <c r="I162" i="22"/>
  <c r="I163" i="22"/>
  <c r="H163" i="22" s="1"/>
  <c r="I164" i="22"/>
  <c r="H164" i="22"/>
  <c r="I165" i="22"/>
  <c r="H165" i="22" s="1"/>
  <c r="F165" i="22" s="1"/>
  <c r="E166" i="22"/>
  <c r="H166" i="22"/>
  <c r="I166" i="22"/>
  <c r="E167" i="22"/>
  <c r="G167" i="22"/>
  <c r="I167" i="22"/>
  <c r="H167" i="22" s="1"/>
  <c r="F167" i="22" s="1"/>
  <c r="H168" i="22"/>
  <c r="G168" i="22" s="1"/>
  <c r="I168" i="22"/>
  <c r="I170" i="22"/>
  <c r="H170" i="22"/>
  <c r="G170" i="22" s="1"/>
  <c r="I171" i="22"/>
  <c r="H171" i="22"/>
  <c r="H172" i="22"/>
  <c r="G172" i="22" s="1"/>
  <c r="H173" i="22"/>
  <c r="E174" i="22"/>
  <c r="F174" i="22"/>
  <c r="G174" i="22"/>
  <c r="H174" i="22"/>
  <c r="K174" i="22"/>
  <c r="H175" i="22"/>
  <c r="F175" i="22" s="1"/>
  <c r="H176" i="22"/>
  <c r="G176" i="22" s="1"/>
  <c r="H177" i="22"/>
  <c r="G177" i="22" s="1"/>
  <c r="I178" i="22"/>
  <c r="H178" i="22" s="1"/>
  <c r="G178" i="22" s="1"/>
  <c r="I179" i="22"/>
  <c r="H179" i="22" s="1"/>
  <c r="G179" i="22" s="1"/>
  <c r="F180" i="22"/>
  <c r="I180" i="22"/>
  <c r="H180" i="22"/>
  <c r="G180" i="22" s="1"/>
  <c r="E180" i="22"/>
  <c r="I181" i="22"/>
  <c r="H181" i="22" s="1"/>
  <c r="E182" i="22"/>
  <c r="I182" i="22"/>
  <c r="H182" i="22"/>
  <c r="G182" i="22" s="1"/>
  <c r="E183" i="22"/>
  <c r="I183" i="22"/>
  <c r="H183" i="22" s="1"/>
  <c r="I184" i="22"/>
  <c r="H184" i="22"/>
  <c r="K184" i="22" s="1"/>
  <c r="H185" i="22"/>
  <c r="I185" i="22"/>
  <c r="I186" i="22"/>
  <c r="H186" i="22" s="1"/>
  <c r="I187" i="22"/>
  <c r="H187" i="22" s="1"/>
  <c r="G187" i="22" s="1"/>
  <c r="F188" i="22"/>
  <c r="I188" i="22"/>
  <c r="H188" i="22"/>
  <c r="G188" i="22" s="1"/>
  <c r="E188" i="22"/>
  <c r="I189" i="22"/>
  <c r="H189" i="22" s="1"/>
  <c r="E190" i="22"/>
  <c r="I190" i="22"/>
  <c r="H190" i="22"/>
  <c r="G190" i="22" s="1"/>
  <c r="E191" i="22"/>
  <c r="I191" i="22"/>
  <c r="H191" i="22" s="1"/>
  <c r="I192" i="22"/>
  <c r="H192" i="22"/>
  <c r="H193" i="22"/>
  <c r="I193" i="22"/>
  <c r="I194" i="22"/>
  <c r="H194" i="22"/>
  <c r="G194" i="22" s="1"/>
  <c r="G195" i="22"/>
  <c r="I195" i="22"/>
  <c r="H195" i="22" s="1"/>
  <c r="F196" i="22"/>
  <c r="G196" i="22"/>
  <c r="I196" i="22"/>
  <c r="H196" i="22"/>
  <c r="E196" i="22"/>
  <c r="E197" i="22"/>
  <c r="H197" i="22"/>
  <c r="G197" i="22" s="1"/>
  <c r="I197" i="22"/>
  <c r="I198" i="22"/>
  <c r="H198" i="22" s="1"/>
  <c r="G198" i="22" s="1"/>
  <c r="I199" i="22"/>
  <c r="H199" i="22" s="1"/>
  <c r="E199" i="22" s="1"/>
  <c r="H200" i="22"/>
  <c r="H201" i="22"/>
  <c r="H202" i="22"/>
  <c r="K202" i="22"/>
  <c r="H203" i="22"/>
  <c r="E204" i="22"/>
  <c r="F204" i="22"/>
  <c r="G204" i="22"/>
  <c r="H204" i="22"/>
  <c r="K204" i="22"/>
  <c r="H205" i="22"/>
  <c r="K205" i="22"/>
  <c r="H206" i="22"/>
  <c r="H207" i="22"/>
  <c r="H208" i="22"/>
  <c r="H209" i="22"/>
  <c r="H210" i="22"/>
  <c r="K210" i="22"/>
  <c r="H211" i="22"/>
  <c r="I211" i="22"/>
  <c r="I212" i="22"/>
  <c r="H212" i="22" s="1"/>
  <c r="F212" i="22" s="1"/>
  <c r="F213" i="22"/>
  <c r="H213" i="22"/>
  <c r="G213" i="22" s="1"/>
  <c r="E214" i="22"/>
  <c r="F214" i="22"/>
  <c r="H214" i="22"/>
  <c r="G214" i="22" s="1"/>
  <c r="H6" i="20"/>
  <c r="H7" i="20"/>
  <c r="K7" i="20" s="1"/>
  <c r="F8" i="20"/>
  <c r="H8" i="20"/>
  <c r="G8" i="20" s="1"/>
  <c r="F9" i="20"/>
  <c r="G9" i="20"/>
  <c r="I9" i="20"/>
  <c r="H9" i="20"/>
  <c r="E9" i="20"/>
  <c r="E10" i="20"/>
  <c r="H10" i="20"/>
  <c r="G10" i="20" s="1"/>
  <c r="I10" i="20"/>
  <c r="E11" i="20"/>
  <c r="G11" i="20"/>
  <c r="I11" i="20"/>
  <c r="H11" i="20" s="1"/>
  <c r="I12" i="20"/>
  <c r="H12" i="20" s="1"/>
  <c r="E12" i="20" s="1"/>
  <c r="I13" i="20"/>
  <c r="H13" i="20"/>
  <c r="I14" i="20"/>
  <c r="H14" i="20" s="1"/>
  <c r="I15" i="20"/>
  <c r="H15" i="20"/>
  <c r="G15" i="20" s="1"/>
  <c r="H16" i="20"/>
  <c r="I16" i="20"/>
  <c r="G17" i="20"/>
  <c r="I17" i="20"/>
  <c r="H17" i="20" s="1"/>
  <c r="I18" i="20"/>
  <c r="H18" i="20" s="1"/>
  <c r="E18" i="20" s="1"/>
  <c r="I19" i="20"/>
  <c r="H19" i="20" s="1"/>
  <c r="I20" i="20"/>
  <c r="H20" i="20"/>
  <c r="E20" i="20" s="1"/>
  <c r="E21" i="20"/>
  <c r="I21" i="20"/>
  <c r="H21" i="20"/>
  <c r="I22" i="20"/>
  <c r="H22" i="20"/>
  <c r="G22" i="20" s="1"/>
  <c r="I23" i="20"/>
  <c r="H23" i="20" s="1"/>
  <c r="G23" i="20" s="1"/>
  <c r="H24" i="20"/>
  <c r="I24" i="20"/>
  <c r="I25" i="20"/>
  <c r="H25" i="20" s="1"/>
  <c r="K25" i="20" s="1"/>
  <c r="I26" i="20"/>
  <c r="H26" i="20" s="1"/>
  <c r="E27" i="20"/>
  <c r="I27" i="20"/>
  <c r="H27" i="20"/>
  <c r="K27" i="20" s="1"/>
  <c r="I28" i="20"/>
  <c r="H28" i="20" s="1"/>
  <c r="E28" i="20" s="1"/>
  <c r="I29" i="20"/>
  <c r="H29" i="20" s="1"/>
  <c r="I30" i="20"/>
  <c r="H30" i="20" s="1"/>
  <c r="I31" i="20"/>
  <c r="H31" i="20"/>
  <c r="G31" i="20" s="1"/>
  <c r="H32" i="20"/>
  <c r="I32" i="20"/>
  <c r="I33" i="20"/>
  <c r="H33" i="20" s="1"/>
  <c r="G33" i="20" s="1"/>
  <c r="G34" i="20"/>
  <c r="H34" i="20"/>
  <c r="E34" i="20" s="1"/>
  <c r="I34" i="20"/>
  <c r="E35" i="20"/>
  <c r="F35" i="20"/>
  <c r="G35" i="20"/>
  <c r="H35" i="20"/>
  <c r="K35" i="20"/>
  <c r="E36" i="20"/>
  <c r="F36" i="20"/>
  <c r="H36" i="20"/>
  <c r="G36" i="20"/>
  <c r="K36" i="20"/>
  <c r="E37" i="20"/>
  <c r="I37" i="20"/>
  <c r="H37" i="20"/>
  <c r="E38" i="20"/>
  <c r="I38" i="20"/>
  <c r="H38" i="20" s="1"/>
  <c r="I39" i="20"/>
  <c r="H39" i="20" s="1"/>
  <c r="G40" i="20"/>
  <c r="I40" i="20"/>
  <c r="H40" i="20"/>
  <c r="I41" i="20"/>
  <c r="H41" i="20" s="1"/>
  <c r="I42" i="20"/>
  <c r="H42" i="20" s="1"/>
  <c r="E43" i="20"/>
  <c r="G43" i="20"/>
  <c r="H43" i="20"/>
  <c r="I43" i="20"/>
  <c r="I44" i="20"/>
  <c r="H44" i="20"/>
  <c r="I45" i="20"/>
  <c r="H45" i="20"/>
  <c r="E45" i="20" s="1"/>
  <c r="I46" i="20"/>
  <c r="H46" i="20" s="1"/>
  <c r="I47" i="20"/>
  <c r="H47" i="20"/>
  <c r="G48" i="20"/>
  <c r="I48" i="20"/>
  <c r="H48" i="20" s="1"/>
  <c r="I49" i="20"/>
  <c r="H49" i="20" s="1"/>
  <c r="I50" i="20"/>
  <c r="H50" i="20" s="1"/>
  <c r="G50" i="20" s="1"/>
  <c r="E50" i="20"/>
  <c r="G51" i="20"/>
  <c r="H51" i="20"/>
  <c r="E51" i="20" s="1"/>
  <c r="I51" i="20"/>
  <c r="F52" i="20"/>
  <c r="G52" i="20"/>
  <c r="I52" i="20"/>
  <c r="H52" i="20" s="1"/>
  <c r="E52" i="20" s="1"/>
  <c r="I53" i="20"/>
  <c r="H53" i="20" s="1"/>
  <c r="E53" i="20" s="1"/>
  <c r="I54" i="20"/>
  <c r="H54" i="20"/>
  <c r="E54" i="20" s="1"/>
  <c r="I55" i="20"/>
  <c r="H55" i="20"/>
  <c r="I56" i="20"/>
  <c r="H56" i="20" s="1"/>
  <c r="G56" i="20" s="1"/>
  <c r="H57" i="20"/>
  <c r="I57" i="20"/>
  <c r="I58" i="20"/>
  <c r="H58" i="20" s="1"/>
  <c r="I59" i="20"/>
  <c r="H59" i="20" s="1"/>
  <c r="F59" i="20" s="1"/>
  <c r="I60" i="20"/>
  <c r="H60" i="20" s="1"/>
  <c r="E61" i="20"/>
  <c r="I61" i="20"/>
  <c r="H61" i="20" s="1"/>
  <c r="I62" i="20"/>
  <c r="H62" i="20" s="1"/>
  <c r="G62" i="20" s="1"/>
  <c r="I63" i="20"/>
  <c r="H63" i="20" s="1"/>
  <c r="I64" i="20"/>
  <c r="H64" i="20"/>
  <c r="G64" i="20" s="1"/>
  <c r="I65" i="20"/>
  <c r="H65" i="20" s="1"/>
  <c r="I66" i="20"/>
  <c r="H66" i="20"/>
  <c r="G67" i="20"/>
  <c r="H67" i="20"/>
  <c r="E67" i="20" s="1"/>
  <c r="I67" i="20"/>
  <c r="F68" i="20"/>
  <c r="G68" i="20"/>
  <c r="I68" i="20"/>
  <c r="H68" i="20" s="1"/>
  <c r="E68" i="20" s="1"/>
  <c r="I69" i="20"/>
  <c r="H69" i="20"/>
  <c r="I70" i="20"/>
  <c r="H70" i="20"/>
  <c r="K70" i="20" s="1"/>
  <c r="E71" i="20"/>
  <c r="H71" i="20"/>
  <c r="I71" i="20"/>
  <c r="E72" i="20"/>
  <c r="G72" i="20"/>
  <c r="I72" i="20"/>
  <c r="H72" i="20" s="1"/>
  <c r="F72" i="20"/>
  <c r="H73" i="20"/>
  <c r="I73" i="20"/>
  <c r="I74" i="20"/>
  <c r="H74" i="20"/>
  <c r="G74" i="20" s="1"/>
  <c r="H75" i="20"/>
  <c r="I75" i="20"/>
  <c r="F76" i="20"/>
  <c r="G76" i="20"/>
  <c r="I76" i="20"/>
  <c r="H76" i="20"/>
  <c r="E76" i="20" s="1"/>
  <c r="K76" i="20"/>
  <c r="I77" i="20"/>
  <c r="H77" i="20" s="1"/>
  <c r="I78" i="20"/>
  <c r="H78" i="20" s="1"/>
  <c r="K78" i="20"/>
  <c r="I79" i="20"/>
  <c r="H79" i="20"/>
  <c r="G80" i="20"/>
  <c r="I80" i="20"/>
  <c r="H80" i="20"/>
  <c r="E80" i="20" s="1"/>
  <c r="K80" i="20"/>
  <c r="H81" i="20"/>
  <c r="G81" i="20" s="1"/>
  <c r="I81" i="20"/>
  <c r="I82" i="20"/>
  <c r="H82" i="20" s="1"/>
  <c r="G83" i="20"/>
  <c r="I83" i="20"/>
  <c r="H83" i="20" s="1"/>
  <c r="E84" i="20"/>
  <c r="F84" i="20"/>
  <c r="I84" i="20"/>
  <c r="H84" i="20" s="1"/>
  <c r="G84" i="20" s="1"/>
  <c r="K84" i="20"/>
  <c r="G85" i="20"/>
  <c r="I85" i="20"/>
  <c r="H85" i="20" s="1"/>
  <c r="E85" i="20" s="1"/>
  <c r="I86" i="20"/>
  <c r="H86" i="20"/>
  <c r="I87" i="20"/>
  <c r="H87" i="20" s="1"/>
  <c r="I88" i="20"/>
  <c r="H88" i="20"/>
  <c r="K88" i="20" s="1"/>
  <c r="I89" i="20"/>
  <c r="H89" i="20" s="1"/>
  <c r="F90" i="20"/>
  <c r="G90" i="20"/>
  <c r="I90" i="20"/>
  <c r="H90" i="20" s="1"/>
  <c r="H91" i="20"/>
  <c r="K91" i="20" s="1"/>
  <c r="I91" i="20"/>
  <c r="F92" i="20"/>
  <c r="G92" i="20"/>
  <c r="I92" i="20"/>
  <c r="H92" i="20"/>
  <c r="E92" i="20" s="1"/>
  <c r="K92" i="20"/>
  <c r="I93" i="20"/>
  <c r="H93" i="20" s="1"/>
  <c r="E94" i="20"/>
  <c r="I94" i="20"/>
  <c r="H94" i="20" s="1"/>
  <c r="I95" i="20"/>
  <c r="H95" i="20" s="1"/>
  <c r="E95" i="20" s="1"/>
  <c r="I96" i="20"/>
  <c r="H96" i="20" s="1"/>
  <c r="I97" i="20"/>
  <c r="H97" i="20"/>
  <c r="I98" i="20"/>
  <c r="H98" i="20" s="1"/>
  <c r="H99" i="20"/>
  <c r="I99" i="20"/>
  <c r="G100" i="20"/>
  <c r="I100" i="20"/>
  <c r="H100" i="20"/>
  <c r="E100" i="20" s="1"/>
  <c r="I101" i="20"/>
  <c r="H101" i="20" s="1"/>
  <c r="E102" i="20"/>
  <c r="F102" i="20"/>
  <c r="I102" i="20"/>
  <c r="H102" i="20" s="1"/>
  <c r="G102" i="20"/>
  <c r="K102" i="20"/>
  <c r="E103" i="20"/>
  <c r="I103" i="20"/>
  <c r="H103" i="20" s="1"/>
  <c r="E104" i="20"/>
  <c r="G104" i="20"/>
  <c r="I104" i="20"/>
  <c r="H104" i="20"/>
  <c r="F104" i="20"/>
  <c r="G105" i="20"/>
  <c r="I105" i="20"/>
  <c r="H105" i="20" s="1"/>
  <c r="I106" i="20"/>
  <c r="H106" i="20"/>
  <c r="H107" i="20"/>
  <c r="I107" i="20"/>
  <c r="I108" i="20"/>
  <c r="H108" i="20" s="1"/>
  <c r="E108" i="20" s="1"/>
  <c r="K108" i="20"/>
  <c r="G109" i="20"/>
  <c r="I109" i="20"/>
  <c r="H109" i="20" s="1"/>
  <c r="I110" i="20"/>
  <c r="H110" i="20"/>
  <c r="F110" i="20" s="1"/>
  <c r="H111" i="20"/>
  <c r="I111" i="20"/>
  <c r="I112" i="20"/>
  <c r="H112" i="20" s="1"/>
  <c r="G112" i="20" s="1"/>
  <c r="H113" i="20"/>
  <c r="G113" i="20" s="1"/>
  <c r="I113" i="20"/>
  <c r="I114" i="20"/>
  <c r="H114" i="20"/>
  <c r="G115" i="20"/>
  <c r="H115" i="20"/>
  <c r="E115" i="20" s="1"/>
  <c r="I115" i="20"/>
  <c r="F116" i="20"/>
  <c r="G116" i="20"/>
  <c r="I116" i="20"/>
  <c r="H116" i="20" s="1"/>
  <c r="E116" i="20" s="1"/>
  <c r="K116" i="20"/>
  <c r="I117" i="20"/>
  <c r="H117" i="20" s="1"/>
  <c r="I118" i="20"/>
  <c r="H118" i="20"/>
  <c r="H119" i="20"/>
  <c r="I119" i="20"/>
  <c r="I120" i="20"/>
  <c r="H120" i="20" s="1"/>
  <c r="G120" i="20" s="1"/>
  <c r="I121" i="20"/>
  <c r="H121" i="20" s="1"/>
  <c r="G121" i="20" s="1"/>
  <c r="F122" i="20"/>
  <c r="I122" i="20"/>
  <c r="H122" i="20"/>
  <c r="G122" i="20" s="1"/>
  <c r="E122" i="20"/>
  <c r="H123" i="20"/>
  <c r="I123" i="20"/>
  <c r="I124" i="20"/>
  <c r="H124" i="20" s="1"/>
  <c r="G124" i="20" s="1"/>
  <c r="I125" i="20"/>
  <c r="H125" i="20" s="1"/>
  <c r="I126" i="20"/>
  <c r="H126" i="20" s="1"/>
  <c r="I127" i="20"/>
  <c r="H127" i="20" s="1"/>
  <c r="G128" i="20"/>
  <c r="H128" i="20"/>
  <c r="H129" i="20"/>
  <c r="H130" i="20"/>
  <c r="I130" i="20"/>
  <c r="I131" i="20"/>
  <c r="H131" i="20"/>
  <c r="G132" i="20"/>
  <c r="H132" i="20"/>
  <c r="E132" i="20" s="1"/>
  <c r="I132" i="20"/>
  <c r="F133" i="20"/>
  <c r="G133" i="20"/>
  <c r="I133" i="20"/>
  <c r="H133" i="20" s="1"/>
  <c r="E133" i="20" s="1"/>
  <c r="I134" i="20"/>
  <c r="H134" i="20" s="1"/>
  <c r="E134" i="20" s="1"/>
  <c r="E135" i="20"/>
  <c r="I135" i="20"/>
  <c r="H135" i="20" s="1"/>
  <c r="K135" i="20" s="1"/>
  <c r="I136" i="20"/>
  <c r="H136" i="20"/>
  <c r="I137" i="20"/>
  <c r="H137" i="20" s="1"/>
  <c r="I138" i="20"/>
  <c r="H138" i="20" s="1"/>
  <c r="I139" i="20"/>
  <c r="H139" i="20" s="1"/>
  <c r="H140" i="20"/>
  <c r="E140" i="20" s="1"/>
  <c r="I140" i="20"/>
  <c r="I141" i="20"/>
  <c r="H141" i="20" s="1"/>
  <c r="E141" i="20" s="1"/>
  <c r="K141" i="20"/>
  <c r="E142" i="20"/>
  <c r="I142" i="20"/>
  <c r="H142" i="20" s="1"/>
  <c r="I143" i="20"/>
  <c r="H143" i="20" s="1"/>
  <c r="I144" i="20"/>
  <c r="H144" i="20" s="1"/>
  <c r="K144" i="20" s="1"/>
  <c r="I145" i="20"/>
  <c r="H145" i="20" s="1"/>
  <c r="H146" i="20"/>
  <c r="I146" i="20"/>
  <c r="I147" i="20"/>
  <c r="H147" i="20"/>
  <c r="G148" i="20"/>
  <c r="H148" i="20"/>
  <c r="E148" i="20" s="1"/>
  <c r="I148" i="20"/>
  <c r="F149" i="20"/>
  <c r="G149" i="20"/>
  <c r="I149" i="20"/>
  <c r="H149" i="20" s="1"/>
  <c r="E149" i="20" s="1"/>
  <c r="I150" i="20"/>
  <c r="H150" i="20" s="1"/>
  <c r="E150" i="20" s="1"/>
  <c r="E151" i="20"/>
  <c r="I151" i="20"/>
  <c r="H151" i="20" s="1"/>
  <c r="K151" i="20" s="1"/>
  <c r="I152" i="20"/>
  <c r="H152" i="20"/>
  <c r="E152" i="20" s="1"/>
  <c r="I153" i="20"/>
  <c r="H153" i="20" s="1"/>
  <c r="I154" i="20"/>
  <c r="H154" i="20" s="1"/>
  <c r="G155" i="20"/>
  <c r="H155" i="20"/>
  <c r="H156" i="20"/>
  <c r="G156" i="20" s="1"/>
  <c r="I157" i="20"/>
  <c r="H157" i="20" s="1"/>
  <c r="H158" i="20"/>
  <c r="E158" i="20" s="1"/>
  <c r="I158" i="20"/>
  <c r="F159" i="20"/>
  <c r="G159" i="20"/>
  <c r="H159" i="20"/>
  <c r="E159" i="20" s="1"/>
  <c r="E160" i="20"/>
  <c r="F160" i="20"/>
  <c r="H160" i="20"/>
  <c r="G160" i="20" s="1"/>
  <c r="K160" i="20"/>
  <c r="E161" i="20"/>
  <c r="G161" i="20"/>
  <c r="H161" i="20"/>
  <c r="F161" i="20"/>
  <c r="K161" i="20"/>
  <c r="H162" i="20"/>
  <c r="H163" i="20"/>
  <c r="E163" i="20" s="1"/>
  <c r="K163" i="20"/>
  <c r="H164" i="20"/>
  <c r="G164" i="20" s="1"/>
  <c r="H166" i="20"/>
  <c r="I167" i="20"/>
  <c r="H167" i="20" s="1"/>
  <c r="E167" i="20" s="1"/>
  <c r="K167" i="20"/>
  <c r="I168" i="20"/>
  <c r="H168" i="20" s="1"/>
  <c r="I169" i="20"/>
  <c r="H169" i="20" s="1"/>
  <c r="H170" i="20"/>
  <c r="I170" i="20"/>
  <c r="F171" i="20"/>
  <c r="G171" i="20"/>
  <c r="I171" i="20"/>
  <c r="H171" i="20" s="1"/>
  <c r="E171" i="20" s="1"/>
  <c r="H172" i="20"/>
  <c r="I172" i="20"/>
  <c r="G173" i="20"/>
  <c r="H173" i="20"/>
  <c r="I173" i="20"/>
  <c r="F174" i="20"/>
  <c r="H174" i="20"/>
  <c r="I174" i="20"/>
  <c r="K174" i="20"/>
  <c r="F175" i="20"/>
  <c r="E175" i="20"/>
  <c r="I175" i="20"/>
  <c r="H175" i="20" s="1"/>
  <c r="G175" i="20" s="1"/>
  <c r="K175" i="20"/>
  <c r="I176" i="20"/>
  <c r="H176" i="20"/>
  <c r="I177" i="20"/>
  <c r="H177" i="20" s="1"/>
  <c r="F178" i="20"/>
  <c r="H178" i="20"/>
  <c r="E178" i="20" s="1"/>
  <c r="I178" i="20"/>
  <c r="K178" i="20"/>
  <c r="I179" i="20"/>
  <c r="H179" i="20" s="1"/>
  <c r="I180" i="20"/>
  <c r="H180" i="20" s="1"/>
  <c r="H181" i="20"/>
  <c r="G181" i="20" s="1"/>
  <c r="I181" i="20"/>
  <c r="H182" i="20"/>
  <c r="I182" i="20"/>
  <c r="H183" i="20"/>
  <c r="I183" i="20"/>
  <c r="I184" i="20"/>
  <c r="H184" i="20"/>
  <c r="G184" i="20" s="1"/>
  <c r="H185" i="20"/>
  <c r="I185" i="20"/>
  <c r="E186" i="20"/>
  <c r="F186" i="20"/>
  <c r="H186" i="20"/>
  <c r="G186" i="20" s="1"/>
  <c r="I186" i="20"/>
  <c r="K186" i="20"/>
  <c r="F187" i="20"/>
  <c r="I187" i="20"/>
  <c r="H187" i="20" s="1"/>
  <c r="H188" i="20"/>
  <c r="I188" i="20"/>
  <c r="I189" i="20"/>
  <c r="H189" i="20" s="1"/>
  <c r="G189" i="20" s="1"/>
  <c r="E190" i="20"/>
  <c r="I190" i="20"/>
  <c r="H190" i="20" s="1"/>
  <c r="F190" i="20" s="1"/>
  <c r="K190" i="20"/>
  <c r="G191" i="20"/>
  <c r="H191" i="20"/>
  <c r="F191" i="20" s="1"/>
  <c r="E191" i="20"/>
  <c r="I191" i="20"/>
  <c r="K191" i="20"/>
  <c r="I192" i="20"/>
  <c r="H192" i="20"/>
  <c r="I193" i="20"/>
  <c r="H193" i="20" s="1"/>
  <c r="I4" i="18"/>
  <c r="H4" i="18" s="1"/>
  <c r="K4" i="18" s="1"/>
  <c r="G4" i="18"/>
  <c r="I5" i="18"/>
  <c r="H6" i="18"/>
  <c r="K6" i="18"/>
  <c r="I6" i="18"/>
  <c r="I7" i="18"/>
  <c r="I8" i="18"/>
  <c r="F9" i="18"/>
  <c r="G9" i="18"/>
  <c r="H9" i="18"/>
  <c r="K9" i="18" s="1"/>
  <c r="I9" i="18"/>
  <c r="E9" i="18"/>
  <c r="H10" i="18"/>
  <c r="K10" i="18" s="1"/>
  <c r="I10" i="18"/>
  <c r="G11" i="18"/>
  <c r="K11" i="18"/>
  <c r="I11" i="18"/>
  <c r="H11" i="18" s="1"/>
  <c r="F12" i="18"/>
  <c r="H12" i="18"/>
  <c r="K12" i="18" s="1"/>
  <c r="I12" i="18"/>
  <c r="F13" i="18"/>
  <c r="G13" i="18"/>
  <c r="I13" i="18"/>
  <c r="H13" i="18" s="1"/>
  <c r="K13" i="18"/>
  <c r="K14" i="18"/>
  <c r="I14" i="18"/>
  <c r="H14" i="18" s="1"/>
  <c r="H15" i="18"/>
  <c r="K15" i="18"/>
  <c r="I15" i="18"/>
  <c r="F15" i="18" s="1"/>
  <c r="E16" i="18"/>
  <c r="F16" i="18"/>
  <c r="H16" i="18"/>
  <c r="K16" i="18" s="1"/>
  <c r="I16" i="18"/>
  <c r="G16" i="18"/>
  <c r="F17" i="18"/>
  <c r="H17" i="18"/>
  <c r="K17" i="18" s="1"/>
  <c r="I17" i="18"/>
  <c r="G17" i="18" s="1"/>
  <c r="E17" i="18"/>
  <c r="H18" i="18"/>
  <c r="K18" i="18" s="1"/>
  <c r="I18" i="18"/>
  <c r="G19" i="18"/>
  <c r="H19" i="18"/>
  <c r="K19" i="18" s="1"/>
  <c r="I19" i="18"/>
  <c r="F19" i="18" s="1"/>
  <c r="E19" i="18"/>
  <c r="E20" i="18"/>
  <c r="F20" i="18"/>
  <c r="I20" i="18"/>
  <c r="H20" i="18" s="1"/>
  <c r="G20" i="18"/>
  <c r="K20" i="18"/>
  <c r="I21" i="18"/>
  <c r="G21" i="18" s="1"/>
  <c r="H22" i="18"/>
  <c r="K22" i="18" s="1"/>
  <c r="I22" i="18"/>
  <c r="F23" i="18"/>
  <c r="I23" i="18"/>
  <c r="G23" i="18" s="1"/>
  <c r="E23" i="18"/>
  <c r="I24" i="18"/>
  <c r="F24" i="18" s="1"/>
  <c r="G24" i="18"/>
  <c r="F25" i="18"/>
  <c r="G25" i="18"/>
  <c r="H25" i="18"/>
  <c r="K25" i="18" s="1"/>
  <c r="I25" i="18"/>
  <c r="E25" i="18"/>
  <c r="I26" i="18"/>
  <c r="H26" i="18" s="1"/>
  <c r="K26" i="18" s="1"/>
  <c r="I27" i="18"/>
  <c r="I28" i="18"/>
  <c r="I29" i="18"/>
  <c r="I30" i="18"/>
  <c r="H30" i="18" s="1"/>
  <c r="K30" i="18" s="1"/>
  <c r="I31" i="18"/>
  <c r="E32" i="18"/>
  <c r="F32" i="18"/>
  <c r="H32" i="18"/>
  <c r="K32" i="18" s="1"/>
  <c r="I32" i="18"/>
  <c r="G32" i="18"/>
  <c r="F33" i="18"/>
  <c r="H33" i="18"/>
  <c r="K33" i="18" s="1"/>
  <c r="I33" i="18"/>
  <c r="G33" i="18" s="1"/>
  <c r="H34" i="18"/>
  <c r="K34" i="18"/>
  <c r="I34" i="18"/>
  <c r="G35" i="18"/>
  <c r="H35" i="18"/>
  <c r="K35" i="18" s="1"/>
  <c r="I35" i="18"/>
  <c r="F35" i="18" s="1"/>
  <c r="E35" i="18"/>
  <c r="E36" i="18"/>
  <c r="I36" i="18"/>
  <c r="F36" i="18" s="1"/>
  <c r="G36" i="18"/>
  <c r="G37" i="18"/>
  <c r="H37" i="18"/>
  <c r="K37" i="18" s="1"/>
  <c r="I37" i="18"/>
  <c r="F37" i="18" s="1"/>
  <c r="H38" i="18"/>
  <c r="K38" i="18" s="1"/>
  <c r="I38" i="18"/>
  <c r="G39" i="18"/>
  <c r="I39" i="18"/>
  <c r="F39" i="18" s="1"/>
  <c r="E39" i="18"/>
  <c r="I40" i="18"/>
  <c r="F41" i="18"/>
  <c r="G41" i="18"/>
  <c r="H41" i="18"/>
  <c r="I41" i="18"/>
  <c r="E41" i="18"/>
  <c r="K41" i="18"/>
  <c r="I42" i="18"/>
  <c r="H42" i="18" s="1"/>
  <c r="K42" i="18" s="1"/>
  <c r="F43" i="18"/>
  <c r="I43" i="18"/>
  <c r="F44" i="18"/>
  <c r="H44" i="18"/>
  <c r="K44" i="18" s="1"/>
  <c r="I44" i="18"/>
  <c r="E44" i="18" s="1"/>
  <c r="F45" i="18"/>
  <c r="I45" i="18"/>
  <c r="G45" i="18" s="1"/>
  <c r="E45" i="18"/>
  <c r="I46" i="18"/>
  <c r="H46" i="18" s="1"/>
  <c r="K46" i="18" s="1"/>
  <c r="H47" i="18"/>
  <c r="K47" i="18"/>
  <c r="I47" i="18"/>
  <c r="F47" i="18" s="1"/>
  <c r="E48" i="18"/>
  <c r="F48" i="18"/>
  <c r="H48" i="18"/>
  <c r="I48" i="18"/>
  <c r="G48" i="18"/>
  <c r="K48" i="18"/>
  <c r="I49" i="18"/>
  <c r="H50" i="18"/>
  <c r="K50" i="18"/>
  <c r="I50" i="18"/>
  <c r="G51" i="18"/>
  <c r="H51" i="18"/>
  <c r="K51" i="18" s="1"/>
  <c r="I51" i="18"/>
  <c r="F51" i="18" s="1"/>
  <c r="E51" i="18"/>
  <c r="E52" i="18"/>
  <c r="I52" i="18"/>
  <c r="F52" i="18" s="1"/>
  <c r="G52" i="18"/>
  <c r="G53" i="18"/>
  <c r="H53" i="18"/>
  <c r="K53" i="18" s="1"/>
  <c r="I53" i="18"/>
  <c r="F53" i="18" s="1"/>
  <c r="H54" i="18"/>
  <c r="K54" i="18" s="1"/>
  <c r="I54" i="18"/>
  <c r="G55" i="18"/>
  <c r="I55" i="18"/>
  <c r="F55" i="18" s="1"/>
  <c r="E55" i="18"/>
  <c r="I56" i="18"/>
  <c r="F57" i="18"/>
  <c r="G57" i="18"/>
  <c r="H57" i="18"/>
  <c r="I57" i="18"/>
  <c r="E57" i="18"/>
  <c r="K57" i="18"/>
  <c r="I58" i="18"/>
  <c r="H58" i="18" s="1"/>
  <c r="K58" i="18" s="1"/>
  <c r="I59" i="18"/>
  <c r="F60" i="18"/>
  <c r="H60" i="18"/>
  <c r="K60" i="18" s="1"/>
  <c r="I60" i="18"/>
  <c r="E60" i="18" s="1"/>
  <c r="F61" i="18"/>
  <c r="I61" i="18"/>
  <c r="G61" i="18" s="1"/>
  <c r="E61" i="18"/>
  <c r="I62" i="18"/>
  <c r="H62" i="18" s="1"/>
  <c r="K62" i="18" s="1"/>
  <c r="I63" i="18"/>
  <c r="I64" i="18"/>
  <c r="I65" i="18"/>
  <c r="I66" i="18"/>
  <c r="E66" i="18" s="1"/>
  <c r="G67" i="18"/>
  <c r="I67" i="18"/>
  <c r="H67" i="18" s="1"/>
  <c r="K67" i="18" s="1"/>
  <c r="E67" i="18"/>
  <c r="F68" i="18"/>
  <c r="I68" i="18"/>
  <c r="G69" i="18"/>
  <c r="H69" i="18"/>
  <c r="K69" i="18" s="1"/>
  <c r="I69" i="18"/>
  <c r="E69" i="18"/>
  <c r="I70" i="18"/>
  <c r="I71" i="18"/>
  <c r="I72" i="18"/>
  <c r="I73" i="18"/>
  <c r="I74" i="18"/>
  <c r="G75" i="18"/>
  <c r="H75" i="18"/>
  <c r="K75" i="18" s="1"/>
  <c r="I75" i="18"/>
  <c r="E75" i="18"/>
  <c r="F76" i="18"/>
  <c r="I76" i="18"/>
  <c r="H77" i="18"/>
  <c r="K77" i="18"/>
  <c r="I77" i="18"/>
  <c r="G77" i="18" s="1"/>
  <c r="I78" i="18"/>
  <c r="E78" i="18" s="1"/>
  <c r="I79" i="18"/>
  <c r="I80" i="18"/>
  <c r="I81" i="18"/>
  <c r="I82" i="18"/>
  <c r="E82" i="18" s="1"/>
  <c r="G83" i="18"/>
  <c r="I83" i="18"/>
  <c r="H83" i="18" s="1"/>
  <c r="K83" i="18" s="1"/>
  <c r="E83" i="18"/>
  <c r="F84" i="18"/>
  <c r="I84" i="18"/>
  <c r="G85" i="18"/>
  <c r="H85" i="18"/>
  <c r="K85" i="18" s="1"/>
  <c r="I85" i="18"/>
  <c r="E85" i="18"/>
  <c r="I86" i="18"/>
  <c r="I87" i="18"/>
  <c r="I88" i="18"/>
  <c r="I89" i="18"/>
  <c r="I90" i="18"/>
  <c r="G91" i="18"/>
  <c r="H91" i="18"/>
  <c r="K91" i="18" s="1"/>
  <c r="I91" i="18"/>
  <c r="E91" i="18"/>
  <c r="F92" i="18"/>
  <c r="I92" i="18"/>
  <c r="H93" i="18"/>
  <c r="K93" i="18"/>
  <c r="I93" i="18"/>
  <c r="G93" i="18" s="1"/>
  <c r="I94" i="18"/>
  <c r="E94" i="18" s="1"/>
  <c r="I95" i="18"/>
  <c r="I96" i="18"/>
  <c r="I97" i="18"/>
  <c r="I98" i="18"/>
  <c r="E98" i="18" s="1"/>
  <c r="G99" i="18"/>
  <c r="I99" i="18"/>
  <c r="H99" i="18" s="1"/>
  <c r="K99" i="18" s="1"/>
  <c r="E99" i="18"/>
  <c r="F100" i="18"/>
  <c r="I100" i="18"/>
  <c r="G101" i="18"/>
  <c r="H101" i="18"/>
  <c r="K101" i="18" s="1"/>
  <c r="I101" i="18"/>
  <c r="E101" i="18"/>
  <c r="I102" i="18"/>
  <c r="I103" i="18"/>
  <c r="I104" i="18"/>
  <c r="I105" i="18"/>
  <c r="I106" i="18"/>
  <c r="G107" i="18"/>
  <c r="H107" i="18"/>
  <c r="K107" i="18" s="1"/>
  <c r="I107" i="18"/>
  <c r="E107" i="18"/>
  <c r="E108" i="18"/>
  <c r="F108" i="18"/>
  <c r="G108" i="18"/>
  <c r="H108" i="18"/>
  <c r="K108" i="18"/>
  <c r="I109" i="18"/>
  <c r="G110" i="18"/>
  <c r="H110" i="18"/>
  <c r="K110" i="18" s="1"/>
  <c r="I110" i="18"/>
  <c r="F110" i="18" s="1"/>
  <c r="E111" i="18"/>
  <c r="I111" i="18"/>
  <c r="G112" i="18"/>
  <c r="H112" i="18"/>
  <c r="K112" i="18" s="1"/>
  <c r="I112" i="18"/>
  <c r="F112" i="18" s="1"/>
  <c r="I113" i="18"/>
  <c r="I114" i="18"/>
  <c r="I115" i="18"/>
  <c r="E115" i="18" s="1"/>
  <c r="I116" i="18"/>
  <c r="I117" i="18"/>
  <c r="F118" i="18"/>
  <c r="I118" i="18"/>
  <c r="G118" i="18" s="1"/>
  <c r="E118" i="18"/>
  <c r="I119" i="18"/>
  <c r="E119" i="18" s="1"/>
  <c r="F120" i="18"/>
  <c r="I120" i="18"/>
  <c r="G120" i="18" s="1"/>
  <c r="E120" i="18"/>
  <c r="I121" i="18"/>
  <c r="F122" i="18"/>
  <c r="G122" i="18"/>
  <c r="H122" i="18"/>
  <c r="I122" i="18"/>
  <c r="E122" i="18"/>
  <c r="K122" i="18"/>
  <c r="E123" i="18"/>
  <c r="I123" i="18"/>
  <c r="F124" i="18"/>
  <c r="G124" i="18"/>
  <c r="H124" i="18"/>
  <c r="I124" i="18"/>
  <c r="E124" i="18"/>
  <c r="K124" i="18"/>
  <c r="I125" i="18"/>
  <c r="G126" i="18"/>
  <c r="H126" i="18"/>
  <c r="K126" i="18" s="1"/>
  <c r="I126" i="18"/>
  <c r="F126" i="18" s="1"/>
  <c r="E126" i="18"/>
  <c r="I127" i="18"/>
  <c r="E127" i="18" s="1"/>
  <c r="G128" i="18"/>
  <c r="H128" i="18"/>
  <c r="K128" i="18" s="1"/>
  <c r="I128" i="18"/>
  <c r="F128" i="18" s="1"/>
  <c r="E129" i="18"/>
  <c r="I129" i="18"/>
  <c r="H129" i="18" s="1"/>
  <c r="K129" i="18" s="1"/>
  <c r="G129" i="18"/>
  <c r="H130" i="18"/>
  <c r="K130" i="18"/>
  <c r="I130" i="18"/>
  <c r="F130" i="18" s="1"/>
  <c r="E131" i="18"/>
  <c r="F131" i="18"/>
  <c r="H131" i="18"/>
  <c r="I131" i="18"/>
  <c r="G131" i="18"/>
  <c r="K131" i="18"/>
  <c r="E132" i="18"/>
  <c r="F132" i="18"/>
  <c r="G132" i="18"/>
  <c r="H132" i="18"/>
  <c r="K132" i="18" s="1"/>
  <c r="E133" i="18"/>
  <c r="F133" i="18"/>
  <c r="G133" i="18"/>
  <c r="H133" i="18"/>
  <c r="K133" i="18" s="1"/>
  <c r="E134" i="18"/>
  <c r="F134" i="18"/>
  <c r="G134" i="18"/>
  <c r="H134" i="18"/>
  <c r="K134" i="18"/>
  <c r="G135" i="18"/>
  <c r="I135" i="18"/>
  <c r="I136" i="18"/>
  <c r="F136" i="18" s="1"/>
  <c r="I137" i="18"/>
  <c r="F138" i="18"/>
  <c r="G138" i="18"/>
  <c r="I138" i="18"/>
  <c r="E138" i="18" s="1"/>
  <c r="I139" i="18"/>
  <c r="H139" i="18" s="1"/>
  <c r="K139" i="18" s="1"/>
  <c r="I140" i="18"/>
  <c r="H141" i="18"/>
  <c r="K141" i="18"/>
  <c r="I141" i="18"/>
  <c r="E141" i="18" s="1"/>
  <c r="E142" i="18"/>
  <c r="G142" i="18"/>
  <c r="I142" i="18"/>
  <c r="H142" i="18" s="1"/>
  <c r="K142" i="18" s="1"/>
  <c r="G143" i="18"/>
  <c r="I143" i="18"/>
  <c r="I144" i="18"/>
  <c r="F144" i="18" s="1"/>
  <c r="I145" i="18"/>
  <c r="F146" i="18"/>
  <c r="G146" i="18"/>
  <c r="I146" i="18"/>
  <c r="E146" i="18" s="1"/>
  <c r="I147" i="18"/>
  <c r="I148" i="18"/>
  <c r="H149" i="18"/>
  <c r="K149" i="18"/>
  <c r="I149" i="18"/>
  <c r="E149" i="18" s="1"/>
  <c r="E150" i="18"/>
  <c r="G150" i="18"/>
  <c r="I150" i="18"/>
  <c r="H150" i="18" s="1"/>
  <c r="K150" i="18" s="1"/>
  <c r="G151" i="18"/>
  <c r="I151" i="18"/>
  <c r="I152" i="18"/>
  <c r="F152" i="18" s="1"/>
  <c r="I153" i="18"/>
  <c r="F154" i="18"/>
  <c r="G154" i="18"/>
  <c r="I154" i="18"/>
  <c r="E154" i="18" s="1"/>
  <c r="I155" i="18"/>
  <c r="I156" i="18"/>
  <c r="H157" i="18"/>
  <c r="K157" i="18"/>
  <c r="I157" i="18"/>
  <c r="E157" i="18" s="1"/>
  <c r="I158" i="18"/>
  <c r="E158" i="18" s="1"/>
  <c r="G159" i="18"/>
  <c r="I159" i="18"/>
  <c r="E159" i="18"/>
  <c r="E160" i="18"/>
  <c r="I160" i="18"/>
  <c r="I161" i="18"/>
  <c r="H162" i="18"/>
  <c r="K162" i="18"/>
  <c r="I162" i="18"/>
  <c r="E162" i="18" s="1"/>
  <c r="E163" i="18"/>
  <c r="F163" i="18"/>
  <c r="G163" i="18"/>
  <c r="I163" i="18"/>
  <c r="H163" i="18"/>
  <c r="K163" i="18"/>
  <c r="G164" i="18"/>
  <c r="I164" i="18"/>
  <c r="I165" i="18"/>
  <c r="F165" i="18" s="1"/>
  <c r="I166" i="18"/>
  <c r="I167" i="18"/>
  <c r="G167" i="18" s="1"/>
  <c r="I168" i="18"/>
  <c r="I169" i="18"/>
  <c r="H170" i="18"/>
  <c r="K170" i="18"/>
  <c r="I170" i="18"/>
  <c r="E170" i="18" s="1"/>
  <c r="I4" i="17"/>
  <c r="J4" i="17"/>
  <c r="K4" i="17"/>
  <c r="L4" i="17"/>
  <c r="M4" i="17"/>
  <c r="P4" i="17"/>
  <c r="T4" i="17"/>
  <c r="K5" i="17"/>
  <c r="L5" i="17"/>
  <c r="M5" i="17"/>
  <c r="P5" i="17"/>
  <c r="R5" i="17"/>
  <c r="S5" i="17"/>
  <c r="T5" i="17"/>
  <c r="Q5" i="17" s="1"/>
  <c r="Z5" i="17"/>
  <c r="I6" i="17"/>
  <c r="J6" i="17"/>
  <c r="K6" i="17"/>
  <c r="L6" i="17"/>
  <c r="M6" i="17"/>
  <c r="P6" i="17"/>
  <c r="R6" i="17"/>
  <c r="S6" i="17"/>
  <c r="T6" i="17"/>
  <c r="Q6" i="17" s="1"/>
  <c r="Z6" i="17"/>
  <c r="I7" i="17"/>
  <c r="J7" i="17"/>
  <c r="K7" i="17"/>
  <c r="L7" i="17"/>
  <c r="M7" i="17"/>
  <c r="P7" i="17"/>
  <c r="Q7" i="17"/>
  <c r="R7" i="17"/>
  <c r="S7" i="17"/>
  <c r="X7" i="17"/>
  <c r="Z7" i="17"/>
  <c r="I8" i="17"/>
  <c r="J8" i="17"/>
  <c r="K8" i="17"/>
  <c r="L8" i="17"/>
  <c r="M8" i="17"/>
  <c r="P8" i="17"/>
  <c r="Q8" i="17"/>
  <c r="R8" i="17"/>
  <c r="S8" i="17"/>
  <c r="X8" i="17"/>
  <c r="Z8" i="17"/>
  <c r="I9" i="17"/>
  <c r="J9" i="17"/>
  <c r="K9" i="17"/>
  <c r="L9" i="17"/>
  <c r="M9" i="17"/>
  <c r="P9" i="17"/>
  <c r="Q9" i="17"/>
  <c r="R9" i="17"/>
  <c r="S9" i="17"/>
  <c r="X9" i="17"/>
  <c r="Z9" i="17"/>
  <c r="I10" i="17"/>
  <c r="J10" i="17"/>
  <c r="K10" i="17"/>
  <c r="L10" i="17"/>
  <c r="M10" i="17"/>
  <c r="P10" i="17"/>
  <c r="Q10" i="17"/>
  <c r="R10" i="17"/>
  <c r="S10" i="17"/>
  <c r="U10" i="17"/>
  <c r="V10" i="17"/>
  <c r="X10" i="17"/>
  <c r="Z10" i="17"/>
  <c r="I11" i="17"/>
  <c r="J11" i="17"/>
  <c r="K11" i="17"/>
  <c r="L11" i="17"/>
  <c r="M11" i="17"/>
  <c r="P11" i="17"/>
  <c r="Q11" i="17"/>
  <c r="T11" i="17"/>
  <c r="I12" i="17"/>
  <c r="J12" i="17"/>
  <c r="K12" i="17"/>
  <c r="L12" i="17"/>
  <c r="M12" i="17"/>
  <c r="P12" i="17"/>
  <c r="Q12" i="17"/>
  <c r="T12" i="17"/>
  <c r="U12" i="17"/>
  <c r="I13" i="17"/>
  <c r="J13" i="17"/>
  <c r="K13" i="17"/>
  <c r="L13" i="17"/>
  <c r="M13" i="17"/>
  <c r="P13" i="17"/>
  <c r="T13" i="17"/>
  <c r="U13" i="17"/>
  <c r="I14" i="17"/>
  <c r="J14" i="17"/>
  <c r="K14" i="17"/>
  <c r="L14" i="17"/>
  <c r="M14" i="17"/>
  <c r="P14" i="17"/>
  <c r="T14" i="17"/>
  <c r="X14" i="17" s="1"/>
  <c r="U14" i="17"/>
  <c r="I15" i="17"/>
  <c r="J15" i="17"/>
  <c r="K15" i="17"/>
  <c r="L15" i="17"/>
  <c r="M15" i="17"/>
  <c r="P15" i="17"/>
  <c r="T15" i="17"/>
  <c r="Z15" i="17" s="1"/>
  <c r="U15" i="17"/>
  <c r="I16" i="17"/>
  <c r="J16" i="17"/>
  <c r="K16" i="17"/>
  <c r="L16" i="17"/>
  <c r="M16" i="17"/>
  <c r="P16" i="17"/>
  <c r="T16" i="17"/>
  <c r="Z16" i="17" s="1"/>
  <c r="U16" i="17"/>
  <c r="I17" i="17"/>
  <c r="J17" i="17"/>
  <c r="K17" i="17"/>
  <c r="L17" i="17"/>
  <c r="M17" i="17"/>
  <c r="P17" i="17"/>
  <c r="Q17" i="17"/>
  <c r="T17" i="17"/>
  <c r="U17" i="17"/>
  <c r="Z17" i="17"/>
  <c r="I18" i="17"/>
  <c r="J18" i="17"/>
  <c r="K18" i="17"/>
  <c r="L18" i="17"/>
  <c r="M18" i="17"/>
  <c r="P18" i="17"/>
  <c r="T18" i="17"/>
  <c r="I19" i="17"/>
  <c r="J19" i="17"/>
  <c r="K19" i="17"/>
  <c r="L19" i="17"/>
  <c r="M19" i="17"/>
  <c r="P19" i="17"/>
  <c r="T19" i="17"/>
  <c r="I20" i="17"/>
  <c r="J20" i="17"/>
  <c r="K20" i="17"/>
  <c r="L20" i="17"/>
  <c r="M20" i="17"/>
  <c r="P20" i="17"/>
  <c r="T20" i="17"/>
  <c r="Z20" i="17" s="1"/>
  <c r="K21" i="17"/>
  <c r="L21" i="17"/>
  <c r="M21" i="17"/>
  <c r="P21" i="17"/>
  <c r="Q21" i="17"/>
  <c r="R21" i="17"/>
  <c r="S21" i="17"/>
  <c r="X21" i="17"/>
  <c r="Z21" i="17"/>
  <c r="K22" i="17"/>
  <c r="L22" i="17"/>
  <c r="M22" i="17"/>
  <c r="P22" i="17"/>
  <c r="T22" i="17"/>
  <c r="Z22" i="17" s="1"/>
  <c r="U22" i="17"/>
  <c r="I23" i="17"/>
  <c r="J23" i="17"/>
  <c r="K23" i="17"/>
  <c r="L23" i="17"/>
  <c r="M23" i="17"/>
  <c r="P23" i="17"/>
  <c r="S23" i="17"/>
  <c r="T23" i="17"/>
  <c r="I24" i="17"/>
  <c r="J24" i="17"/>
  <c r="K24" i="17"/>
  <c r="L24" i="17"/>
  <c r="M24" i="17"/>
  <c r="P24" i="17"/>
  <c r="Q24" i="17"/>
  <c r="R24" i="17"/>
  <c r="S24" i="17"/>
  <c r="U24" i="17"/>
  <c r="V24" i="17"/>
  <c r="X24" i="17"/>
  <c r="Z24" i="17"/>
  <c r="K25" i="17"/>
  <c r="L25" i="17"/>
  <c r="M25" i="17"/>
  <c r="P25" i="17"/>
  <c r="Q25" i="17"/>
  <c r="R25" i="17"/>
  <c r="S25" i="17"/>
  <c r="U25" i="17"/>
  <c r="V25" i="17"/>
  <c r="X25" i="17"/>
  <c r="Z25" i="17"/>
  <c r="I26" i="17"/>
  <c r="J26" i="17"/>
  <c r="K26" i="17"/>
  <c r="L26" i="17"/>
  <c r="M26" i="17"/>
  <c r="P26" i="17"/>
  <c r="Q26" i="17"/>
  <c r="R26" i="17"/>
  <c r="S26" i="17"/>
  <c r="X26" i="17"/>
  <c r="Z26" i="17"/>
  <c r="I27" i="17"/>
  <c r="J27" i="17"/>
  <c r="K27" i="17"/>
  <c r="L27" i="17"/>
  <c r="M27" i="17"/>
  <c r="P27" i="17"/>
  <c r="Q27" i="17"/>
  <c r="R27" i="17"/>
  <c r="S27" i="17"/>
  <c r="X27" i="17"/>
  <c r="Z27" i="17"/>
  <c r="I28" i="17"/>
  <c r="J28" i="17"/>
  <c r="K28" i="17"/>
  <c r="L28" i="17"/>
  <c r="M28" i="17"/>
  <c r="P28" i="17"/>
  <c r="Q28" i="17"/>
  <c r="R28" i="17"/>
  <c r="S28" i="17"/>
  <c r="U28" i="17"/>
  <c r="V28" i="17" s="1"/>
  <c r="X28" i="17"/>
  <c r="Z28" i="17"/>
  <c r="I29" i="17"/>
  <c r="J29" i="17"/>
  <c r="K29" i="17"/>
  <c r="L29" i="17"/>
  <c r="M29" i="17"/>
  <c r="P29" i="17"/>
  <c r="Q29" i="17"/>
  <c r="R29" i="17"/>
  <c r="S29" i="17"/>
  <c r="X29" i="17"/>
  <c r="Z29" i="17"/>
  <c r="I30" i="17"/>
  <c r="J30" i="17"/>
  <c r="K30" i="17"/>
  <c r="L30" i="17"/>
  <c r="M30" i="17"/>
  <c r="P30" i="17"/>
  <c r="Q30" i="17"/>
  <c r="R30" i="17"/>
  <c r="S30" i="17"/>
  <c r="X30" i="17"/>
  <c r="Z30" i="17"/>
  <c r="I31" i="17"/>
  <c r="J31" i="17"/>
  <c r="K31" i="17"/>
  <c r="L31" i="17"/>
  <c r="M31" i="17"/>
  <c r="P31" i="17"/>
  <c r="Q31" i="17"/>
  <c r="R31" i="17"/>
  <c r="S31" i="17"/>
  <c r="U31" i="17"/>
  <c r="V31" i="17" s="1"/>
  <c r="X31" i="17"/>
  <c r="Z31" i="17"/>
  <c r="I32" i="17"/>
  <c r="J32" i="17"/>
  <c r="K32" i="17"/>
  <c r="L32" i="17"/>
  <c r="M32" i="17"/>
  <c r="P32" i="17"/>
  <c r="T32" i="17"/>
  <c r="I33" i="17"/>
  <c r="J33" i="17"/>
  <c r="K33" i="17"/>
  <c r="L33" i="17"/>
  <c r="M33" i="17"/>
  <c r="P33" i="17"/>
  <c r="Q33" i="17"/>
  <c r="R33" i="17"/>
  <c r="S33" i="17"/>
  <c r="X33" i="17"/>
  <c r="Z33" i="17"/>
  <c r="I34" i="17"/>
  <c r="J34" i="17"/>
  <c r="K34" i="17"/>
  <c r="L34" i="17"/>
  <c r="M34" i="17"/>
  <c r="P34" i="17"/>
  <c r="Q34" i="17"/>
  <c r="S34" i="17"/>
  <c r="T34" i="17"/>
  <c r="R34" i="17"/>
  <c r="X34" i="17"/>
  <c r="I35" i="17"/>
  <c r="J35" i="17"/>
  <c r="K35" i="17"/>
  <c r="L35" i="17"/>
  <c r="M35" i="17"/>
  <c r="P35" i="17"/>
  <c r="Q35" i="17"/>
  <c r="R35" i="17"/>
  <c r="S35" i="17"/>
  <c r="X35" i="17"/>
  <c r="Z35" i="17"/>
  <c r="I36" i="17"/>
  <c r="J36" i="17"/>
  <c r="K36" i="17"/>
  <c r="L36" i="17"/>
  <c r="M36" i="17"/>
  <c r="P36" i="17"/>
  <c r="T36" i="17"/>
  <c r="I37" i="17"/>
  <c r="J37" i="17"/>
  <c r="K37" i="17"/>
  <c r="L37" i="17"/>
  <c r="M37" i="17"/>
  <c r="P37" i="17"/>
  <c r="Q37" i="17"/>
  <c r="R37" i="17"/>
  <c r="S37" i="17"/>
  <c r="X37" i="17"/>
  <c r="Z37" i="17"/>
  <c r="I38" i="17"/>
  <c r="J38" i="17"/>
  <c r="K38" i="17"/>
  <c r="L38" i="17"/>
  <c r="M38" i="17"/>
  <c r="P38" i="17"/>
  <c r="R38" i="17"/>
  <c r="S38" i="17"/>
  <c r="T38" i="17"/>
  <c r="Q38" i="17" s="1"/>
  <c r="Z38" i="17"/>
  <c r="I39" i="17"/>
  <c r="J39" i="17"/>
  <c r="K39" i="17"/>
  <c r="L39" i="17"/>
  <c r="M39" i="17"/>
  <c r="P39" i="17"/>
  <c r="Q39" i="17"/>
  <c r="R39" i="17"/>
  <c r="S39" i="17"/>
  <c r="X39" i="17"/>
  <c r="Z39" i="17"/>
  <c r="I40" i="17"/>
  <c r="J40" i="17"/>
  <c r="K40" i="17"/>
  <c r="L40" i="17"/>
  <c r="M40" i="17"/>
  <c r="P40" i="17"/>
  <c r="T40" i="17"/>
  <c r="I41" i="17"/>
  <c r="J41" i="17"/>
  <c r="K41" i="17"/>
  <c r="L41" i="17"/>
  <c r="M41" i="17"/>
  <c r="P41" i="17"/>
  <c r="Q41" i="17"/>
  <c r="R41" i="17"/>
  <c r="S41" i="17"/>
  <c r="X41" i="17"/>
  <c r="Z41" i="17"/>
  <c r="I42" i="17"/>
  <c r="J42" i="17"/>
  <c r="K42" i="17"/>
  <c r="L42" i="17"/>
  <c r="M42" i="17"/>
  <c r="P42" i="17"/>
  <c r="Q42" i="17"/>
  <c r="S42" i="17"/>
  <c r="T42" i="17"/>
  <c r="R42" i="17" s="1"/>
  <c r="X42" i="17"/>
  <c r="I43" i="17"/>
  <c r="J43" i="17"/>
  <c r="K43" i="17"/>
  <c r="L43" i="17"/>
  <c r="M43" i="17"/>
  <c r="P43" i="17"/>
  <c r="Q43" i="17"/>
  <c r="R43" i="17"/>
  <c r="S43" i="17"/>
  <c r="X43" i="17"/>
  <c r="Z43" i="17"/>
  <c r="I44" i="17"/>
  <c r="J44" i="17"/>
  <c r="K44" i="17"/>
  <c r="L44" i="17"/>
  <c r="M44" i="17"/>
  <c r="P44" i="17"/>
  <c r="Q44" i="17"/>
  <c r="R44" i="17"/>
  <c r="S44" i="17"/>
  <c r="U44" i="17"/>
  <c r="V44" i="17" s="1"/>
  <c r="X44" i="17"/>
  <c r="Z44" i="17"/>
  <c r="I45" i="17"/>
  <c r="J45" i="17"/>
  <c r="K45" i="17"/>
  <c r="L45" i="17"/>
  <c r="M45" i="17"/>
  <c r="P45" i="17"/>
  <c r="Q45" i="17"/>
  <c r="R45" i="17"/>
  <c r="S45" i="17"/>
  <c r="U45" i="17"/>
  <c r="V45" i="17" s="1"/>
  <c r="X45" i="17"/>
  <c r="Z45" i="17"/>
  <c r="I46" i="17"/>
  <c r="J46" i="17"/>
  <c r="K46" i="17"/>
  <c r="L46" i="17"/>
  <c r="M46" i="17"/>
  <c r="P46" i="17"/>
  <c r="Q46" i="17"/>
  <c r="R46" i="17"/>
  <c r="S46" i="17"/>
  <c r="U46" i="17"/>
  <c r="V46" i="17"/>
  <c r="X46" i="17"/>
  <c r="Z46" i="17"/>
  <c r="I47" i="17"/>
  <c r="J47" i="17"/>
  <c r="K47" i="17"/>
  <c r="L47" i="17"/>
  <c r="M47" i="17"/>
  <c r="P47" i="17"/>
  <c r="Q47" i="17"/>
  <c r="R47" i="17"/>
  <c r="S47" i="17"/>
  <c r="U47" i="17"/>
  <c r="V47" i="17"/>
  <c r="X47" i="17"/>
  <c r="Z47" i="17"/>
  <c r="I48" i="17"/>
  <c r="J48" i="17"/>
  <c r="K48" i="17"/>
  <c r="L48" i="17"/>
  <c r="M48" i="17"/>
  <c r="P48" i="17"/>
  <c r="Q48" i="17"/>
  <c r="R48" i="17"/>
  <c r="S48" i="17"/>
  <c r="U48" i="17"/>
  <c r="V48" i="17" s="1"/>
  <c r="X48" i="17"/>
  <c r="Z48" i="17"/>
  <c r="I49" i="17"/>
  <c r="J49" i="17"/>
  <c r="K49" i="17"/>
  <c r="L49" i="17"/>
  <c r="M49" i="17"/>
  <c r="P49" i="17"/>
  <c r="Q49" i="17"/>
  <c r="R49" i="17"/>
  <c r="S49" i="17"/>
  <c r="U49" i="17"/>
  <c r="V49" i="17" s="1"/>
  <c r="X49" i="17"/>
  <c r="Z49" i="17"/>
  <c r="I50" i="17"/>
  <c r="J50" i="17"/>
  <c r="K50" i="17"/>
  <c r="L50" i="17"/>
  <c r="M50" i="17"/>
  <c r="P50" i="17"/>
  <c r="Q50" i="17"/>
  <c r="R50" i="17"/>
  <c r="S50" i="17"/>
  <c r="U50" i="17"/>
  <c r="V50" i="17"/>
  <c r="X50" i="17"/>
  <c r="Z50" i="17"/>
  <c r="I51" i="17"/>
  <c r="J51" i="17"/>
  <c r="K51" i="17"/>
  <c r="L51" i="17"/>
  <c r="M51" i="17"/>
  <c r="P51" i="17"/>
  <c r="Q51" i="17"/>
  <c r="R51" i="17"/>
  <c r="S51" i="17"/>
  <c r="U51" i="17"/>
  <c r="V51" i="17"/>
  <c r="X51" i="17"/>
  <c r="Z51" i="17"/>
  <c r="I52" i="17"/>
  <c r="J52" i="17"/>
  <c r="K52" i="17"/>
  <c r="L52" i="17"/>
  <c r="M52" i="17"/>
  <c r="P52" i="17"/>
  <c r="R52" i="17"/>
  <c r="T52" i="17"/>
  <c r="U52" i="17"/>
  <c r="V52" i="17"/>
  <c r="Z52" i="17"/>
  <c r="I53" i="17"/>
  <c r="J53" i="17"/>
  <c r="K53" i="17"/>
  <c r="L53" i="17"/>
  <c r="M53" i="17"/>
  <c r="P53" i="17"/>
  <c r="Q53" i="17"/>
  <c r="R53" i="17"/>
  <c r="S53" i="17"/>
  <c r="U53" i="17"/>
  <c r="V53" i="17"/>
  <c r="X53" i="17"/>
  <c r="Z53" i="17"/>
  <c r="I54" i="17"/>
  <c r="J54" i="17"/>
  <c r="K54" i="17"/>
  <c r="L54" i="17"/>
  <c r="M54" i="17"/>
  <c r="P54" i="17"/>
  <c r="T54" i="17"/>
  <c r="I55" i="17"/>
  <c r="J55" i="17"/>
  <c r="K55" i="17"/>
  <c r="L55" i="17"/>
  <c r="M55" i="17"/>
  <c r="P55" i="17"/>
  <c r="T55" i="17"/>
  <c r="I56" i="17"/>
  <c r="J56" i="17"/>
  <c r="K56" i="17"/>
  <c r="L56" i="17"/>
  <c r="M56" i="17"/>
  <c r="P56" i="17"/>
  <c r="T56" i="17"/>
  <c r="I57" i="17"/>
  <c r="J57" i="17"/>
  <c r="K57" i="17"/>
  <c r="L57" i="17"/>
  <c r="M57" i="17"/>
  <c r="P57" i="17"/>
  <c r="T57" i="17"/>
  <c r="I58" i="17"/>
  <c r="J58" i="17"/>
  <c r="K58" i="17"/>
  <c r="L58" i="17"/>
  <c r="M58" i="17"/>
  <c r="P58" i="17"/>
  <c r="T58" i="17"/>
  <c r="U58" i="17"/>
  <c r="I59" i="17"/>
  <c r="J59" i="17"/>
  <c r="K59" i="17"/>
  <c r="L59" i="17"/>
  <c r="M59" i="17"/>
  <c r="P59" i="17"/>
  <c r="Q59" i="17"/>
  <c r="S59" i="17"/>
  <c r="T59" i="17"/>
  <c r="R59" i="17" s="1"/>
  <c r="U59" i="17"/>
  <c r="X59" i="17"/>
  <c r="Z59" i="17"/>
  <c r="I60" i="17"/>
  <c r="J60" i="17"/>
  <c r="K60" i="17"/>
  <c r="L60" i="17"/>
  <c r="M60" i="17"/>
  <c r="P60" i="17"/>
  <c r="T60" i="17"/>
  <c r="Z60" i="17" s="1"/>
  <c r="U60" i="17"/>
  <c r="I61" i="17"/>
  <c r="J61" i="17"/>
  <c r="K61" i="17"/>
  <c r="L61" i="17"/>
  <c r="M61" i="17"/>
  <c r="P61" i="17"/>
  <c r="S61" i="17"/>
  <c r="T61" i="17"/>
  <c r="U61" i="17"/>
  <c r="X61" i="17"/>
  <c r="Z61" i="17"/>
  <c r="I62" i="17"/>
  <c r="J62" i="17"/>
  <c r="K62" i="17"/>
  <c r="L62" i="17"/>
  <c r="M62" i="17"/>
  <c r="P62" i="17"/>
  <c r="Q62" i="17"/>
  <c r="R62" i="17"/>
  <c r="S62" i="17"/>
  <c r="T62" i="17"/>
  <c r="U62" i="17"/>
  <c r="V62" i="17"/>
  <c r="X62" i="17"/>
  <c r="Z62" i="17"/>
  <c r="I63" i="17"/>
  <c r="J63" i="17"/>
  <c r="K63" i="17"/>
  <c r="L63" i="17"/>
  <c r="M63" i="17"/>
  <c r="P63" i="17"/>
  <c r="T63" i="17"/>
  <c r="R63" i="17"/>
  <c r="U63" i="17"/>
  <c r="Z63" i="17"/>
  <c r="I64" i="17"/>
  <c r="J64" i="17"/>
  <c r="K64" i="17"/>
  <c r="L64" i="17"/>
  <c r="M64" i="17"/>
  <c r="P64" i="17"/>
  <c r="R64" i="17"/>
  <c r="S64" i="17"/>
  <c r="T64" i="17"/>
  <c r="Q64" i="17" s="1"/>
  <c r="Z64" i="17"/>
  <c r="I65" i="17"/>
  <c r="J65" i="17"/>
  <c r="K65" i="17"/>
  <c r="L65" i="17"/>
  <c r="M65" i="17"/>
  <c r="P65" i="17"/>
  <c r="R65" i="17"/>
  <c r="S65" i="17"/>
  <c r="T65" i="17"/>
  <c r="Q65" i="17" s="1"/>
  <c r="Z65" i="17"/>
  <c r="I66" i="17"/>
  <c r="J66" i="17"/>
  <c r="K66" i="17"/>
  <c r="L66" i="17"/>
  <c r="M66" i="17"/>
  <c r="P66" i="17"/>
  <c r="R66" i="17"/>
  <c r="S66" i="17"/>
  <c r="T66" i="17"/>
  <c r="Z66" i="17"/>
  <c r="I67" i="17"/>
  <c r="J67" i="17"/>
  <c r="K67" i="17"/>
  <c r="L67" i="17"/>
  <c r="M67" i="17"/>
  <c r="P67" i="17"/>
  <c r="T67" i="17"/>
  <c r="R67" i="17" s="1"/>
  <c r="Z67" i="17"/>
  <c r="I68" i="17"/>
  <c r="J68" i="17"/>
  <c r="K68" i="17"/>
  <c r="L68" i="17"/>
  <c r="M68" i="17"/>
  <c r="P68" i="17"/>
  <c r="R68" i="17"/>
  <c r="S68" i="17"/>
  <c r="T68" i="17"/>
  <c r="Z68" i="17"/>
  <c r="I69" i="17"/>
  <c r="J69" i="17"/>
  <c r="K69" i="17"/>
  <c r="L69" i="17"/>
  <c r="M69" i="17"/>
  <c r="P69" i="17"/>
  <c r="T69" i="17"/>
  <c r="R69" i="17" s="1"/>
  <c r="Z69" i="17"/>
  <c r="I70" i="17"/>
  <c r="J70" i="17"/>
  <c r="K70" i="17"/>
  <c r="L70" i="17"/>
  <c r="M70" i="17"/>
  <c r="P70" i="17"/>
  <c r="Q70" i="17"/>
  <c r="R70" i="17"/>
  <c r="S70" i="17"/>
  <c r="X70" i="17"/>
  <c r="Z70" i="17"/>
  <c r="I71" i="17"/>
  <c r="J71" i="17"/>
  <c r="K71" i="17"/>
  <c r="L71" i="17"/>
  <c r="M71" i="17"/>
  <c r="P71" i="17"/>
  <c r="T71" i="17"/>
  <c r="U71" i="17"/>
  <c r="V71" i="17"/>
  <c r="I72" i="17"/>
  <c r="J72" i="17"/>
  <c r="K72" i="17"/>
  <c r="L72" i="17"/>
  <c r="M72" i="17"/>
  <c r="P72" i="17"/>
  <c r="T72" i="17"/>
  <c r="U72" i="17"/>
  <c r="I73" i="17"/>
  <c r="J73" i="17"/>
  <c r="K73" i="17"/>
  <c r="L73" i="17"/>
  <c r="M73" i="17"/>
  <c r="P73" i="17"/>
  <c r="T73" i="17"/>
  <c r="U73" i="17"/>
  <c r="I74" i="17"/>
  <c r="J74" i="17"/>
  <c r="K74" i="17"/>
  <c r="L74" i="17"/>
  <c r="M74" i="17"/>
  <c r="P74" i="17"/>
  <c r="R74" i="17"/>
  <c r="T74" i="17"/>
  <c r="U74" i="17"/>
  <c r="Z74" i="17"/>
  <c r="I75" i="17"/>
  <c r="J75" i="17"/>
  <c r="K75" i="17"/>
  <c r="L75" i="17"/>
  <c r="M75" i="17"/>
  <c r="P75" i="17"/>
  <c r="T75" i="17"/>
  <c r="U75" i="17"/>
  <c r="V75" i="17"/>
  <c r="I76" i="17"/>
  <c r="J76" i="17"/>
  <c r="K76" i="17"/>
  <c r="L76" i="17"/>
  <c r="M76" i="17"/>
  <c r="P76" i="17"/>
  <c r="T76" i="17"/>
  <c r="U76" i="17"/>
  <c r="I77" i="17"/>
  <c r="J77" i="17"/>
  <c r="K77" i="17"/>
  <c r="L77" i="17"/>
  <c r="M77" i="17"/>
  <c r="P77" i="17"/>
  <c r="Q77" i="17"/>
  <c r="R77" i="17"/>
  <c r="S77" i="17"/>
  <c r="U77" i="17"/>
  <c r="V77" i="17"/>
  <c r="X77" i="17"/>
  <c r="Z77" i="17"/>
  <c r="I78" i="17"/>
  <c r="J78" i="17"/>
  <c r="K78" i="17"/>
  <c r="L78" i="17"/>
  <c r="M78" i="17"/>
  <c r="P78" i="17"/>
  <c r="Q78" i="17"/>
  <c r="R78" i="17"/>
  <c r="S78" i="17"/>
  <c r="U78" i="17"/>
  <c r="V78" i="17"/>
  <c r="X78" i="17"/>
  <c r="Z78" i="17"/>
  <c r="I79" i="17"/>
  <c r="J79" i="17"/>
  <c r="K79" i="17"/>
  <c r="L79" i="17"/>
  <c r="M79" i="17"/>
  <c r="P79" i="17"/>
  <c r="R79" i="17"/>
  <c r="T79" i="17"/>
  <c r="Z79" i="17"/>
  <c r="I80" i="17"/>
  <c r="J80" i="17"/>
  <c r="K80" i="17"/>
  <c r="L80" i="17"/>
  <c r="M80" i="17"/>
  <c r="P80" i="17"/>
  <c r="T80" i="17"/>
  <c r="Z80" i="17"/>
  <c r="I81" i="17"/>
  <c r="J81" i="17"/>
  <c r="K81" i="17"/>
  <c r="L81" i="17"/>
  <c r="M81" i="17"/>
  <c r="P81" i="17"/>
  <c r="Q81" i="17"/>
  <c r="R81" i="17"/>
  <c r="S81" i="17"/>
  <c r="U81" i="17"/>
  <c r="V81" i="17" s="1"/>
  <c r="X81" i="17"/>
  <c r="Z81" i="17"/>
  <c r="I82" i="17"/>
  <c r="J82" i="17"/>
  <c r="K82" i="17"/>
  <c r="L82" i="17"/>
  <c r="M82" i="17"/>
  <c r="P82" i="17"/>
  <c r="T82" i="17"/>
  <c r="R82" i="17" s="1"/>
  <c r="X82" i="17"/>
  <c r="K83" i="17"/>
  <c r="L83" i="17"/>
  <c r="M83" i="17"/>
  <c r="P83" i="17"/>
  <c r="Q83" i="17"/>
  <c r="R83" i="17"/>
  <c r="S83" i="17"/>
  <c r="U83" i="17"/>
  <c r="V83" i="17" s="1"/>
  <c r="X83" i="17"/>
  <c r="Z83" i="17"/>
  <c r="I84" i="17"/>
  <c r="J84" i="17"/>
  <c r="K84" i="17"/>
  <c r="L84" i="17"/>
  <c r="M84" i="17"/>
  <c r="P84" i="17"/>
  <c r="T84" i="17"/>
  <c r="I85" i="17"/>
  <c r="J85" i="17"/>
  <c r="K85" i="17"/>
  <c r="L85" i="17"/>
  <c r="M85" i="17"/>
  <c r="P85" i="17"/>
  <c r="Q85" i="17"/>
  <c r="R85" i="17"/>
  <c r="S85" i="17"/>
  <c r="U85" i="17"/>
  <c r="V85" i="17" s="1"/>
  <c r="X85" i="17"/>
  <c r="Z85" i="17"/>
  <c r="Q86" i="17"/>
  <c r="R86" i="17"/>
  <c r="S86" i="17"/>
  <c r="U86" i="17"/>
  <c r="V86" i="17"/>
  <c r="X86" i="17"/>
  <c r="Z86" i="17"/>
  <c r="I87" i="17"/>
  <c r="J87" i="17"/>
  <c r="K87" i="17"/>
  <c r="L87" i="17"/>
  <c r="M87" i="17"/>
  <c r="P87" i="17"/>
  <c r="Q87" i="17"/>
  <c r="R87" i="17"/>
  <c r="S87" i="17"/>
  <c r="X87" i="17"/>
  <c r="Z87" i="17"/>
  <c r="I88" i="17"/>
  <c r="J88" i="17"/>
  <c r="K88" i="17"/>
  <c r="L88" i="17"/>
  <c r="M88" i="17"/>
  <c r="P88" i="17"/>
  <c r="Q88" i="17"/>
  <c r="R88" i="17"/>
  <c r="S88" i="17"/>
  <c r="U88" i="17"/>
  <c r="V88" i="17"/>
  <c r="X88" i="17"/>
  <c r="Z88" i="17"/>
  <c r="I89" i="17"/>
  <c r="J89" i="17"/>
  <c r="K89" i="17"/>
  <c r="L89" i="17"/>
  <c r="M89" i="17"/>
  <c r="P89" i="17"/>
  <c r="Q89" i="17"/>
  <c r="R89" i="17"/>
  <c r="S89" i="17"/>
  <c r="X89" i="17"/>
  <c r="Z89" i="17"/>
  <c r="I90" i="17"/>
  <c r="J90" i="17"/>
  <c r="K90" i="17"/>
  <c r="L90" i="17"/>
  <c r="M90" i="17"/>
  <c r="P90" i="17"/>
  <c r="Q90" i="17"/>
  <c r="R90" i="17"/>
  <c r="S90" i="17"/>
  <c r="X90" i="17"/>
  <c r="Z90" i="17"/>
  <c r="I91" i="17"/>
  <c r="J91" i="17"/>
  <c r="K91" i="17"/>
  <c r="L91" i="17"/>
  <c r="M91" i="17"/>
  <c r="P91" i="17"/>
  <c r="Q91" i="17"/>
  <c r="R91" i="17"/>
  <c r="S91" i="17"/>
  <c r="X91" i="17"/>
  <c r="Z91" i="17"/>
  <c r="I92" i="17"/>
  <c r="J92" i="17"/>
  <c r="K92" i="17"/>
  <c r="L92" i="17"/>
  <c r="M92" i="17"/>
  <c r="P92" i="17"/>
  <c r="Q92" i="17"/>
  <c r="R92" i="17"/>
  <c r="S92" i="17"/>
  <c r="U92" i="17"/>
  <c r="V92" i="17" s="1"/>
  <c r="X92" i="17"/>
  <c r="Z92" i="17"/>
  <c r="I93" i="17"/>
  <c r="J93" i="17"/>
  <c r="K93" i="17"/>
  <c r="L93" i="17"/>
  <c r="M93" i="17"/>
  <c r="P93" i="17"/>
  <c r="Q93" i="17"/>
  <c r="R93" i="17"/>
  <c r="S93" i="17"/>
  <c r="U93" i="17"/>
  <c r="V93" i="17" s="1"/>
  <c r="X93" i="17"/>
  <c r="Z93" i="17"/>
  <c r="I94" i="17"/>
  <c r="J94" i="17"/>
  <c r="K94" i="17"/>
  <c r="L94" i="17"/>
  <c r="M94" i="17"/>
  <c r="P94" i="17"/>
  <c r="Q94" i="17"/>
  <c r="R94" i="17"/>
  <c r="S94" i="17"/>
  <c r="X94" i="17"/>
  <c r="Z94" i="17"/>
  <c r="I95" i="17"/>
  <c r="J95" i="17"/>
  <c r="K95" i="17"/>
  <c r="L95" i="17"/>
  <c r="M95" i="17"/>
  <c r="P95" i="17"/>
  <c r="T95" i="17"/>
  <c r="R95" i="17" s="1"/>
  <c r="Z95" i="17"/>
  <c r="I96" i="17"/>
  <c r="J96" i="17"/>
  <c r="K96" i="17"/>
  <c r="L96" i="17"/>
  <c r="M96" i="17"/>
  <c r="P96" i="17"/>
  <c r="Q96" i="17"/>
  <c r="R96" i="17"/>
  <c r="S96" i="17"/>
  <c r="U96" i="17"/>
  <c r="V96" i="17"/>
  <c r="X96" i="17"/>
  <c r="Z96" i="17"/>
  <c r="I97" i="17"/>
  <c r="J97" i="17"/>
  <c r="K97" i="17"/>
  <c r="L97" i="17"/>
  <c r="M97" i="17"/>
  <c r="P97" i="17"/>
  <c r="Q97" i="17"/>
  <c r="R97" i="17"/>
  <c r="S97" i="17"/>
  <c r="X97" i="17"/>
  <c r="Z97" i="17"/>
  <c r="I98" i="17"/>
  <c r="J98" i="17"/>
  <c r="K98" i="17"/>
  <c r="L98" i="17"/>
  <c r="M98" i="17"/>
  <c r="P98" i="17"/>
  <c r="Q98" i="17"/>
  <c r="R98" i="17"/>
  <c r="S98" i="17"/>
  <c r="U98" i="17"/>
  <c r="V98" i="17" s="1"/>
  <c r="X98" i="17"/>
  <c r="Z98" i="17"/>
  <c r="I99" i="17"/>
  <c r="J99" i="17"/>
  <c r="K99" i="17"/>
  <c r="L99" i="17"/>
  <c r="M99" i="17"/>
  <c r="P99" i="17"/>
  <c r="Q99" i="17"/>
  <c r="R99" i="17"/>
  <c r="S99" i="17"/>
  <c r="X99" i="17"/>
  <c r="Z99" i="17"/>
  <c r="I100" i="17"/>
  <c r="J100" i="17"/>
  <c r="K100" i="17"/>
  <c r="L100" i="17"/>
  <c r="M100" i="17"/>
  <c r="P100" i="17"/>
  <c r="Q100" i="17"/>
  <c r="R100" i="17"/>
  <c r="S100" i="17"/>
  <c r="X100" i="17"/>
  <c r="Z100" i="17"/>
  <c r="I101" i="17"/>
  <c r="J101" i="17"/>
  <c r="K101" i="17"/>
  <c r="L101" i="17"/>
  <c r="M101" i="17"/>
  <c r="P101" i="17"/>
  <c r="Q101" i="17"/>
  <c r="R101" i="17"/>
  <c r="S101" i="17"/>
  <c r="X101" i="17"/>
  <c r="Z101" i="17"/>
  <c r="I102" i="17"/>
  <c r="J102" i="17"/>
  <c r="K102" i="17"/>
  <c r="L102" i="17"/>
  <c r="M102" i="17"/>
  <c r="P102" i="17"/>
  <c r="T102" i="17"/>
  <c r="Z102" i="17" s="1"/>
  <c r="I103" i="17"/>
  <c r="J103" i="17"/>
  <c r="K103" i="17"/>
  <c r="L103" i="17"/>
  <c r="M103" i="17"/>
  <c r="P103" i="17"/>
  <c r="R103" i="17"/>
  <c r="T103" i="17"/>
  <c r="U103" i="17"/>
  <c r="Z103" i="17"/>
  <c r="I104" i="17"/>
  <c r="J104" i="17"/>
  <c r="K104" i="17"/>
  <c r="L104" i="17"/>
  <c r="M104" i="17"/>
  <c r="P104" i="17"/>
  <c r="Q104" i="17"/>
  <c r="R104" i="17"/>
  <c r="S104" i="17"/>
  <c r="U104" i="17"/>
  <c r="V104" i="17" s="1"/>
  <c r="X104" i="17"/>
  <c r="Z104" i="17"/>
  <c r="I105" i="17"/>
  <c r="J105" i="17"/>
  <c r="K105" i="17"/>
  <c r="L105" i="17"/>
  <c r="M105" i="17"/>
  <c r="P105" i="17"/>
  <c r="Q105" i="17"/>
  <c r="R105" i="17"/>
  <c r="S105" i="17"/>
  <c r="T105" i="17"/>
  <c r="U105" i="17"/>
  <c r="V105" i="17"/>
  <c r="X105" i="17"/>
  <c r="Z105" i="17"/>
  <c r="I106" i="17"/>
  <c r="J106" i="17"/>
  <c r="K106" i="17"/>
  <c r="L106" i="17"/>
  <c r="M106" i="17"/>
  <c r="P106" i="17"/>
  <c r="T106" i="17"/>
  <c r="Q106" i="17" s="1"/>
  <c r="R106" i="17"/>
  <c r="I107" i="17"/>
  <c r="J107" i="17"/>
  <c r="K107" i="17"/>
  <c r="L107" i="17"/>
  <c r="M107" i="17"/>
  <c r="P107" i="17"/>
  <c r="Q107" i="17"/>
  <c r="R107" i="17"/>
  <c r="S107" i="17"/>
  <c r="U107" i="17"/>
  <c r="V107" i="17"/>
  <c r="X107" i="17"/>
  <c r="Z107" i="17"/>
  <c r="I108" i="17"/>
  <c r="J108" i="17"/>
  <c r="K108" i="17"/>
  <c r="L108" i="17"/>
  <c r="M108" i="17"/>
  <c r="P108" i="17"/>
  <c r="T108" i="17"/>
  <c r="U108" i="17"/>
  <c r="V108" i="17"/>
  <c r="I109" i="17"/>
  <c r="J109" i="17"/>
  <c r="K109" i="17"/>
  <c r="L109" i="17"/>
  <c r="M109" i="17"/>
  <c r="P109" i="17"/>
  <c r="T109" i="17"/>
  <c r="R109" i="17" s="1"/>
  <c r="U109" i="17"/>
  <c r="V109" i="17" s="1"/>
  <c r="I110" i="17"/>
  <c r="J110" i="17"/>
  <c r="K110" i="17"/>
  <c r="L110" i="17"/>
  <c r="M110" i="17"/>
  <c r="P110" i="17"/>
  <c r="T110" i="17"/>
  <c r="U110" i="17"/>
  <c r="I111" i="17"/>
  <c r="J111" i="17"/>
  <c r="K111" i="17"/>
  <c r="L111" i="17"/>
  <c r="M111" i="17"/>
  <c r="P111" i="17"/>
  <c r="R111" i="17"/>
  <c r="T111" i="17"/>
  <c r="U111" i="17"/>
  <c r="Z111" i="17"/>
  <c r="I112" i="17"/>
  <c r="J112" i="17"/>
  <c r="K112" i="17"/>
  <c r="L112" i="17"/>
  <c r="M112" i="17"/>
  <c r="P112" i="17"/>
  <c r="T112" i="17"/>
  <c r="Z112" i="17"/>
  <c r="I113" i="17"/>
  <c r="J113" i="17"/>
  <c r="K113" i="17"/>
  <c r="L113" i="17"/>
  <c r="M113" i="17"/>
  <c r="P113" i="17"/>
  <c r="Q113" i="17"/>
  <c r="R113" i="17"/>
  <c r="S113" i="17"/>
  <c r="X113" i="17"/>
  <c r="Z113" i="17"/>
  <c r="I114" i="17"/>
  <c r="J114" i="17"/>
  <c r="K114" i="17"/>
  <c r="L114" i="17"/>
  <c r="M114" i="17"/>
  <c r="P114" i="17"/>
  <c r="T114" i="17"/>
  <c r="I115" i="17"/>
  <c r="J115" i="17"/>
  <c r="K115" i="17"/>
  <c r="L115" i="17"/>
  <c r="M115" i="17"/>
  <c r="P115" i="17"/>
  <c r="Q115" i="17"/>
  <c r="R115" i="17"/>
  <c r="S115" i="17"/>
  <c r="U115" i="17"/>
  <c r="V115" i="17" s="1"/>
  <c r="X115" i="17"/>
  <c r="Z115" i="17"/>
  <c r="I116" i="17"/>
  <c r="J116" i="17"/>
  <c r="K116" i="17"/>
  <c r="L116" i="17"/>
  <c r="M116" i="17"/>
  <c r="P116" i="17"/>
  <c r="Q116" i="17"/>
  <c r="R116" i="17"/>
  <c r="S116" i="17"/>
  <c r="U116" i="17"/>
  <c r="V116" i="17" s="1"/>
  <c r="X116" i="17"/>
  <c r="Z116" i="17"/>
  <c r="I117" i="17"/>
  <c r="J117" i="17"/>
  <c r="K117" i="17"/>
  <c r="L117" i="17"/>
  <c r="M117" i="17"/>
  <c r="P117" i="17"/>
  <c r="Q117" i="17"/>
  <c r="R117" i="17"/>
  <c r="S117" i="17"/>
  <c r="X117" i="17"/>
  <c r="Z117" i="17"/>
  <c r="I118" i="17"/>
  <c r="J118" i="17"/>
  <c r="K118" i="17"/>
  <c r="L118" i="17"/>
  <c r="M118" i="17"/>
  <c r="P118" i="17"/>
  <c r="T118" i="17"/>
  <c r="I119" i="17"/>
  <c r="J119" i="17"/>
  <c r="K119" i="17"/>
  <c r="L119" i="17"/>
  <c r="M119" i="17"/>
  <c r="P119" i="17"/>
  <c r="R119" i="17"/>
  <c r="T119" i="17"/>
  <c r="U119" i="17"/>
  <c r="V119" i="17"/>
  <c r="Z119" i="17"/>
  <c r="I120" i="17"/>
  <c r="J120" i="17"/>
  <c r="K120" i="17"/>
  <c r="L120" i="17"/>
  <c r="M120" i="17"/>
  <c r="P120" i="17"/>
  <c r="T120" i="17"/>
  <c r="U120" i="17"/>
  <c r="I121" i="17"/>
  <c r="J121" i="17"/>
  <c r="K121" i="17"/>
  <c r="L121" i="17"/>
  <c r="M121" i="17"/>
  <c r="P121" i="17"/>
  <c r="Q121" i="17"/>
  <c r="R121" i="17"/>
  <c r="S121" i="17"/>
  <c r="X121" i="17"/>
  <c r="Z121" i="17"/>
  <c r="I122" i="17"/>
  <c r="J122" i="17"/>
  <c r="K122" i="17"/>
  <c r="L122" i="17"/>
  <c r="M122" i="17"/>
  <c r="P122" i="17"/>
  <c r="Q122" i="17"/>
  <c r="R122" i="17"/>
  <c r="S122" i="17"/>
  <c r="X122" i="17"/>
  <c r="Z122" i="17"/>
  <c r="I123" i="17"/>
  <c r="J123" i="17"/>
  <c r="K123" i="17"/>
  <c r="L123" i="17"/>
  <c r="M123" i="17"/>
  <c r="P123" i="17"/>
  <c r="Q123" i="17"/>
  <c r="R123" i="17"/>
  <c r="S123" i="17"/>
  <c r="X123" i="17"/>
  <c r="Z123" i="17"/>
  <c r="I124" i="17"/>
  <c r="J124" i="17"/>
  <c r="K124" i="17"/>
  <c r="L124" i="17"/>
  <c r="M124" i="17"/>
  <c r="P124" i="17"/>
  <c r="Q124" i="17"/>
  <c r="R124" i="17"/>
  <c r="S124" i="17"/>
  <c r="X124" i="17"/>
  <c r="Z124" i="17"/>
  <c r="I125" i="17"/>
  <c r="J125" i="17"/>
  <c r="K125" i="17"/>
  <c r="L125" i="17"/>
  <c r="M125" i="17"/>
  <c r="P125" i="17"/>
  <c r="Q125" i="17"/>
  <c r="R125" i="17"/>
  <c r="S125" i="17"/>
  <c r="X125" i="17"/>
  <c r="Z125" i="17"/>
  <c r="I126" i="17"/>
  <c r="J126" i="17"/>
  <c r="K126" i="17"/>
  <c r="L126" i="17"/>
  <c r="M126" i="17"/>
  <c r="P126" i="17"/>
  <c r="Q126" i="17"/>
  <c r="R126" i="17"/>
  <c r="S126" i="17"/>
  <c r="X126" i="17"/>
  <c r="Z126" i="17"/>
  <c r="I127" i="17"/>
  <c r="J127" i="17"/>
  <c r="K127" i="17"/>
  <c r="L127" i="17"/>
  <c r="M127" i="17"/>
  <c r="P127" i="17"/>
  <c r="Q127" i="17"/>
  <c r="R127" i="17"/>
  <c r="S127" i="17"/>
  <c r="X127" i="17"/>
  <c r="Z127" i="17"/>
  <c r="I128" i="17"/>
  <c r="J128" i="17"/>
  <c r="K128" i="17"/>
  <c r="L128" i="17"/>
  <c r="M128" i="17"/>
  <c r="P128" i="17"/>
  <c r="Q128" i="17"/>
  <c r="R128" i="17"/>
  <c r="S128" i="17"/>
  <c r="U128" i="17"/>
  <c r="V128" i="17" s="1"/>
  <c r="X128" i="17"/>
  <c r="Z128" i="17"/>
  <c r="I129" i="17"/>
  <c r="J129" i="17"/>
  <c r="K129" i="17"/>
  <c r="L129" i="17"/>
  <c r="M129" i="17"/>
  <c r="P129" i="17"/>
  <c r="Q129" i="17"/>
  <c r="R129" i="17"/>
  <c r="S129" i="17"/>
  <c r="U129" i="17"/>
  <c r="V129" i="17" s="1"/>
  <c r="X129" i="17"/>
  <c r="Z129" i="17"/>
  <c r="I130" i="17"/>
  <c r="J130" i="17"/>
  <c r="K130" i="17"/>
  <c r="L130" i="17"/>
  <c r="M130" i="17"/>
  <c r="P130" i="17"/>
  <c r="Q130" i="17"/>
  <c r="R130" i="17"/>
  <c r="S130" i="17"/>
  <c r="U130" i="17"/>
  <c r="V130" i="17"/>
  <c r="X130" i="17"/>
  <c r="Z130" i="17"/>
  <c r="I131" i="17"/>
  <c r="J131" i="17"/>
  <c r="K131" i="17"/>
  <c r="L131" i="17"/>
  <c r="M131" i="17"/>
  <c r="P131" i="17"/>
  <c r="Q131" i="17"/>
  <c r="R131" i="17"/>
  <c r="S131" i="17"/>
  <c r="X131" i="17"/>
  <c r="Z131" i="17"/>
  <c r="I132" i="17"/>
  <c r="J132" i="17"/>
  <c r="K132" i="17"/>
  <c r="L132" i="17"/>
  <c r="M132" i="17"/>
  <c r="P132" i="17"/>
  <c r="Q132" i="17"/>
  <c r="S132" i="17"/>
  <c r="T132" i="17"/>
  <c r="R132" i="17" s="1"/>
  <c r="X132" i="17"/>
  <c r="I133" i="17"/>
  <c r="J133" i="17"/>
  <c r="K133" i="17"/>
  <c r="L133" i="17"/>
  <c r="M133" i="17"/>
  <c r="P133" i="17"/>
  <c r="T133" i="17"/>
  <c r="I134" i="17"/>
  <c r="J134" i="17"/>
  <c r="K134" i="17"/>
  <c r="L134" i="17"/>
  <c r="M134" i="17"/>
  <c r="P134" i="17"/>
  <c r="T134" i="17"/>
  <c r="R134" i="17"/>
  <c r="I135" i="17"/>
  <c r="J135" i="17"/>
  <c r="K135" i="17"/>
  <c r="L135" i="17"/>
  <c r="M135" i="17"/>
  <c r="P135" i="17"/>
  <c r="Q135" i="17"/>
  <c r="R135" i="17"/>
  <c r="S135" i="17"/>
  <c r="X135" i="17"/>
  <c r="Z135" i="17"/>
  <c r="I136" i="17"/>
  <c r="J136" i="17"/>
  <c r="K136" i="17"/>
  <c r="L136" i="17"/>
  <c r="M136" i="17"/>
  <c r="P136" i="17"/>
  <c r="Q136" i="17"/>
  <c r="R136" i="17"/>
  <c r="S136" i="17"/>
  <c r="U136" i="17"/>
  <c r="V136" i="17"/>
  <c r="X136" i="17"/>
  <c r="Z136" i="17"/>
  <c r="I137" i="17"/>
  <c r="J137" i="17"/>
  <c r="K137" i="17"/>
  <c r="L137" i="17"/>
  <c r="M137" i="17"/>
  <c r="P137" i="17"/>
  <c r="Q137" i="17"/>
  <c r="R137" i="17"/>
  <c r="S137" i="17"/>
  <c r="X137" i="17"/>
  <c r="Z137" i="17"/>
  <c r="K138" i="17"/>
  <c r="L138" i="17"/>
  <c r="M138" i="17"/>
  <c r="P138" i="17"/>
  <c r="R138" i="17"/>
  <c r="T138" i="17"/>
  <c r="Z138" i="17"/>
  <c r="I139" i="17"/>
  <c r="J139" i="17"/>
  <c r="K139" i="17"/>
  <c r="L139" i="17"/>
  <c r="M139" i="17"/>
  <c r="P139" i="17"/>
  <c r="Q139" i="17"/>
  <c r="R139" i="17"/>
  <c r="S139" i="17"/>
  <c r="U139" i="17"/>
  <c r="V139" i="17" s="1"/>
  <c r="X139" i="17"/>
  <c r="Z139" i="17"/>
  <c r="K140" i="17"/>
  <c r="L140" i="17"/>
  <c r="M140" i="17"/>
  <c r="P140" i="17"/>
  <c r="Q140" i="17"/>
  <c r="R140" i="17"/>
  <c r="S140" i="17"/>
  <c r="U140" i="17"/>
  <c r="V140" i="17" s="1"/>
  <c r="X140" i="17"/>
  <c r="Z140" i="17"/>
  <c r="K141" i="17"/>
  <c r="L141" i="17"/>
  <c r="M141" i="17"/>
  <c r="P141" i="17"/>
  <c r="Q141" i="17"/>
  <c r="R141" i="17"/>
  <c r="S141" i="17"/>
  <c r="U141" i="17"/>
  <c r="V141" i="17" s="1"/>
  <c r="X141" i="17"/>
  <c r="Z141" i="17"/>
  <c r="K142" i="17"/>
  <c r="L142" i="17"/>
  <c r="M142" i="17"/>
  <c r="P142" i="17"/>
  <c r="Q142" i="17"/>
  <c r="R142" i="17"/>
  <c r="S142" i="17"/>
  <c r="U142" i="17"/>
  <c r="V142" i="17"/>
  <c r="X142" i="17"/>
  <c r="Z142" i="17"/>
  <c r="K143" i="17"/>
  <c r="L143" i="17"/>
  <c r="M143" i="17"/>
  <c r="P143" i="17"/>
  <c r="Q143" i="17"/>
  <c r="R143" i="17"/>
  <c r="U143" i="17"/>
  <c r="V143" i="17" s="1"/>
  <c r="X143" i="17"/>
  <c r="Z143" i="17"/>
  <c r="I144" i="17"/>
  <c r="J144" i="17"/>
  <c r="K144" i="17"/>
  <c r="L144" i="17"/>
  <c r="M144" i="17"/>
  <c r="P144" i="17"/>
  <c r="Q144" i="17"/>
  <c r="R144" i="17"/>
  <c r="S144" i="17"/>
  <c r="X144" i="17"/>
  <c r="Z144" i="17"/>
  <c r="I145" i="17"/>
  <c r="J145" i="17"/>
  <c r="K145" i="17"/>
  <c r="L145" i="17"/>
  <c r="M145" i="17"/>
  <c r="P145" i="17"/>
  <c r="Q145" i="17"/>
  <c r="R145" i="17"/>
  <c r="S145" i="17"/>
  <c r="X145" i="17"/>
  <c r="Z145" i="17"/>
  <c r="I146" i="17"/>
  <c r="J146" i="17"/>
  <c r="K146" i="17"/>
  <c r="L146" i="17"/>
  <c r="M146" i="17"/>
  <c r="P146" i="17"/>
  <c r="T146" i="17"/>
  <c r="I147" i="17"/>
  <c r="J147" i="17"/>
  <c r="K147" i="17"/>
  <c r="L147" i="17"/>
  <c r="M147" i="17"/>
  <c r="P147" i="17"/>
  <c r="Q147" i="17"/>
  <c r="R147" i="17"/>
  <c r="S147" i="17"/>
  <c r="X147" i="17"/>
  <c r="Z147" i="17"/>
  <c r="I148" i="17"/>
  <c r="J148" i="17"/>
  <c r="K148" i="17"/>
  <c r="L148" i="17"/>
  <c r="M148" i="17"/>
  <c r="P148" i="17"/>
  <c r="R148" i="17"/>
  <c r="S148" i="17"/>
  <c r="T148" i="17"/>
  <c r="Q148" i="17" s="1"/>
  <c r="Z148" i="17"/>
  <c r="I149" i="17"/>
  <c r="J149" i="17"/>
  <c r="K149" i="17"/>
  <c r="L149" i="17"/>
  <c r="M149" i="17"/>
  <c r="P149" i="17"/>
  <c r="Q149" i="17"/>
  <c r="R149" i="17"/>
  <c r="S149" i="17"/>
  <c r="X149" i="17"/>
  <c r="Z149" i="17"/>
  <c r="I150" i="17"/>
  <c r="J150" i="17"/>
  <c r="K150" i="17"/>
  <c r="L150" i="17"/>
  <c r="M150" i="17"/>
  <c r="P150" i="17"/>
  <c r="R150" i="17"/>
  <c r="T150" i="17"/>
  <c r="Z150" i="17"/>
  <c r="I151" i="17"/>
  <c r="J151" i="17"/>
  <c r="K151" i="17"/>
  <c r="L151" i="17"/>
  <c r="M151" i="17"/>
  <c r="P151" i="17"/>
  <c r="Q151" i="17"/>
  <c r="R151" i="17"/>
  <c r="S151" i="17"/>
  <c r="X151" i="17"/>
  <c r="Z151" i="17"/>
  <c r="I152" i="17"/>
  <c r="J152" i="17"/>
  <c r="K152" i="17"/>
  <c r="L152" i="17"/>
  <c r="M152" i="17"/>
  <c r="P152" i="17"/>
  <c r="T152" i="17"/>
  <c r="R152" i="17"/>
  <c r="I153" i="17"/>
  <c r="J153" i="17"/>
  <c r="K153" i="17"/>
  <c r="L153" i="17"/>
  <c r="M153" i="17"/>
  <c r="P153" i="17"/>
  <c r="Q153" i="17"/>
  <c r="R153" i="17"/>
  <c r="S153" i="17"/>
  <c r="X153" i="17"/>
  <c r="Z153" i="17"/>
  <c r="I154" i="17"/>
  <c r="J154" i="17"/>
  <c r="K154" i="17"/>
  <c r="L154" i="17"/>
  <c r="M154" i="17"/>
  <c r="P154" i="17"/>
  <c r="T154" i="17"/>
  <c r="I155" i="17"/>
  <c r="J155" i="17"/>
  <c r="K155" i="17"/>
  <c r="L155" i="17"/>
  <c r="M155" i="17"/>
  <c r="P155" i="17"/>
  <c r="Q155" i="17"/>
  <c r="R155" i="17"/>
  <c r="S155" i="17"/>
  <c r="X155" i="17"/>
  <c r="Z155" i="17"/>
  <c r="I156" i="17"/>
  <c r="J156" i="17"/>
  <c r="K156" i="17"/>
  <c r="L156" i="17"/>
  <c r="M156" i="17"/>
  <c r="P156" i="17"/>
  <c r="Q156" i="17"/>
  <c r="R156" i="17"/>
  <c r="S156" i="17"/>
  <c r="U156" i="17"/>
  <c r="V156" i="17" s="1"/>
  <c r="X156" i="17"/>
  <c r="Z156" i="17"/>
  <c r="I157" i="17"/>
  <c r="J157" i="17"/>
  <c r="K157" i="17"/>
  <c r="L157" i="17"/>
  <c r="M157" i="17"/>
  <c r="P157" i="17"/>
  <c r="Q157" i="17"/>
  <c r="R157" i="17"/>
  <c r="S157" i="17"/>
  <c r="U157" i="17"/>
  <c r="V157" i="17" s="1"/>
  <c r="X157" i="17"/>
  <c r="Z157" i="17"/>
  <c r="I158" i="17"/>
  <c r="J158" i="17"/>
  <c r="K158" i="17"/>
  <c r="L158" i="17"/>
  <c r="M158" i="17"/>
  <c r="P158" i="17"/>
  <c r="Q158" i="17"/>
  <c r="R158" i="17"/>
  <c r="S158" i="17"/>
  <c r="U158" i="17"/>
  <c r="V158" i="17"/>
  <c r="X158" i="17"/>
  <c r="Z158" i="17"/>
  <c r="I159" i="17"/>
  <c r="J159" i="17"/>
  <c r="K159" i="17"/>
  <c r="L159" i="17"/>
  <c r="M159" i="17"/>
  <c r="P159" i="17"/>
  <c r="Q159" i="17"/>
  <c r="R159" i="17"/>
  <c r="S159" i="17"/>
  <c r="U159" i="17"/>
  <c r="V159" i="17" s="1"/>
  <c r="X159" i="17"/>
  <c r="Z159" i="17"/>
  <c r="I160" i="17"/>
  <c r="J160" i="17"/>
  <c r="K160" i="17"/>
  <c r="L160" i="17"/>
  <c r="M160" i="17"/>
  <c r="P160" i="17"/>
  <c r="Q160" i="17"/>
  <c r="R160" i="17"/>
  <c r="S160" i="17"/>
  <c r="U160" i="17"/>
  <c r="V160" i="17" s="1"/>
  <c r="X160" i="17"/>
  <c r="Z160" i="17"/>
  <c r="I161" i="17"/>
  <c r="J161" i="17"/>
  <c r="K161" i="17"/>
  <c r="L161" i="17"/>
  <c r="M161" i="17"/>
  <c r="P161" i="17"/>
  <c r="Q161" i="17"/>
  <c r="R161" i="17"/>
  <c r="S161" i="17"/>
  <c r="U161" i="17"/>
  <c r="V161" i="17" s="1"/>
  <c r="X161" i="17"/>
  <c r="Z161" i="17"/>
  <c r="I162" i="17"/>
  <c r="J162" i="17"/>
  <c r="K162" i="17"/>
  <c r="L162" i="17"/>
  <c r="M162" i="17"/>
  <c r="P162" i="17"/>
  <c r="Q162" i="17"/>
  <c r="R162" i="17"/>
  <c r="S162" i="17"/>
  <c r="U162" i="17"/>
  <c r="V162" i="17"/>
  <c r="X162" i="17"/>
  <c r="Z162" i="17"/>
  <c r="I163" i="17"/>
  <c r="J163" i="17"/>
  <c r="K163" i="17"/>
  <c r="L163" i="17"/>
  <c r="M163" i="17"/>
  <c r="P163" i="17"/>
  <c r="Q163" i="17"/>
  <c r="R163" i="17"/>
  <c r="S163" i="17"/>
  <c r="U163" i="17"/>
  <c r="V163" i="17"/>
  <c r="X163" i="17"/>
  <c r="Z163" i="17"/>
  <c r="I164" i="17"/>
  <c r="J164" i="17"/>
  <c r="K164" i="17"/>
  <c r="L164" i="17"/>
  <c r="M164" i="17"/>
  <c r="P164" i="17"/>
  <c r="S164" i="17"/>
  <c r="T164" i="17"/>
  <c r="U164" i="17"/>
  <c r="X164" i="17"/>
  <c r="Z164" i="17"/>
  <c r="I165" i="17"/>
  <c r="J165" i="17"/>
  <c r="K165" i="17"/>
  <c r="L165" i="17"/>
  <c r="M165" i="17"/>
  <c r="P165" i="17"/>
  <c r="Q165" i="17"/>
  <c r="R165" i="17"/>
  <c r="S165" i="17"/>
  <c r="U165" i="17"/>
  <c r="V165" i="17"/>
  <c r="X165" i="17"/>
  <c r="Z165" i="17"/>
  <c r="I166" i="17"/>
  <c r="J166" i="17"/>
  <c r="K166" i="17"/>
  <c r="L166" i="17"/>
  <c r="M166" i="17"/>
  <c r="P166" i="17"/>
  <c r="T166" i="17"/>
  <c r="I167" i="17"/>
  <c r="J167" i="17"/>
  <c r="K167" i="17"/>
  <c r="L167" i="17"/>
  <c r="M167" i="17"/>
  <c r="P167" i="17"/>
  <c r="R167" i="17"/>
  <c r="T167" i="17"/>
  <c r="Z167" i="17" s="1"/>
  <c r="I168" i="17"/>
  <c r="J168" i="17"/>
  <c r="K168" i="17"/>
  <c r="L168" i="17"/>
  <c r="M168" i="17"/>
  <c r="P168" i="17"/>
  <c r="Q168" i="17"/>
  <c r="R168" i="17"/>
  <c r="S168" i="17"/>
  <c r="U168" i="17"/>
  <c r="V168" i="17" s="1"/>
  <c r="X168" i="17"/>
  <c r="Z168" i="17"/>
  <c r="I169" i="17"/>
  <c r="J169" i="17"/>
  <c r="K169" i="17"/>
  <c r="L169" i="17"/>
  <c r="M169" i="17"/>
  <c r="P169" i="17"/>
  <c r="Q169" i="17"/>
  <c r="R169" i="17"/>
  <c r="S169" i="17"/>
  <c r="X169" i="17"/>
  <c r="Z169" i="17"/>
  <c r="I170" i="17"/>
  <c r="J170" i="17"/>
  <c r="K170" i="17"/>
  <c r="L170" i="17"/>
  <c r="M170" i="17"/>
  <c r="P170" i="17"/>
  <c r="Q170" i="17"/>
  <c r="R170" i="17"/>
  <c r="S170" i="17"/>
  <c r="U170" i="17"/>
  <c r="V170" i="17" s="1"/>
  <c r="X170" i="17"/>
  <c r="Z170" i="17"/>
  <c r="K171" i="17"/>
  <c r="L171" i="17"/>
  <c r="M171" i="17"/>
  <c r="P171" i="17"/>
  <c r="U171" i="17"/>
  <c r="V171" i="17" s="1"/>
  <c r="I172" i="17"/>
  <c r="J172" i="17"/>
  <c r="K172" i="17"/>
  <c r="L172" i="17"/>
  <c r="M172" i="17"/>
  <c r="P172" i="17"/>
  <c r="U172" i="17"/>
  <c r="V172" i="17" s="1"/>
  <c r="I173" i="17"/>
  <c r="J173" i="17"/>
  <c r="K173" i="17"/>
  <c r="L173" i="17"/>
  <c r="M173" i="17"/>
  <c r="P173" i="17"/>
  <c r="U173" i="17"/>
  <c r="V173" i="17" s="1"/>
  <c r="I174" i="17"/>
  <c r="J174" i="17"/>
  <c r="K174" i="17"/>
  <c r="L174" i="17"/>
  <c r="M174" i="17"/>
  <c r="P174" i="17"/>
  <c r="U174" i="17"/>
  <c r="V174" i="17" s="1"/>
  <c r="I175" i="17"/>
  <c r="J175" i="17"/>
  <c r="K175" i="17"/>
  <c r="L175" i="17"/>
  <c r="M175" i="17"/>
  <c r="P175" i="17"/>
  <c r="U175" i="17"/>
  <c r="V175" i="17" s="1"/>
  <c r="I176" i="17"/>
  <c r="J176" i="17"/>
  <c r="K176" i="17"/>
  <c r="L176" i="17"/>
  <c r="M176" i="17"/>
  <c r="P176" i="17"/>
  <c r="U176" i="17"/>
  <c r="V176" i="17" s="1"/>
  <c r="K177" i="17"/>
  <c r="L177" i="17"/>
  <c r="M177" i="17"/>
  <c r="P177" i="17"/>
  <c r="U177" i="17"/>
  <c r="V177" i="17"/>
  <c r="I178" i="17"/>
  <c r="J178" i="17"/>
  <c r="K178" i="17"/>
  <c r="L178" i="17"/>
  <c r="M178" i="17"/>
  <c r="P178" i="17"/>
  <c r="U178" i="17"/>
  <c r="V178" i="17"/>
  <c r="I179" i="17"/>
  <c r="J179" i="17"/>
  <c r="K179" i="17"/>
  <c r="L179" i="17"/>
  <c r="M179" i="17"/>
  <c r="P179" i="17"/>
  <c r="U179" i="17"/>
  <c r="V179" i="17"/>
  <c r="I180" i="17"/>
  <c r="J180" i="17"/>
  <c r="K180" i="17"/>
  <c r="L180" i="17"/>
  <c r="M180" i="17"/>
  <c r="P180" i="17"/>
  <c r="U180" i="17"/>
  <c r="V180" i="17"/>
  <c r="I181" i="17"/>
  <c r="J181" i="17"/>
  <c r="K181" i="17"/>
  <c r="L181" i="17"/>
  <c r="M181" i="17"/>
  <c r="P181" i="17"/>
  <c r="U181" i="17"/>
  <c r="V181" i="17"/>
  <c r="I182" i="17"/>
  <c r="J182" i="17"/>
  <c r="K182" i="17"/>
  <c r="L182" i="17"/>
  <c r="M182" i="17"/>
  <c r="P182" i="17"/>
  <c r="U182" i="17"/>
  <c r="V182" i="17"/>
  <c r="I183" i="17"/>
  <c r="J183" i="17"/>
  <c r="K183" i="17"/>
  <c r="L183" i="17"/>
  <c r="M183" i="17"/>
  <c r="P183" i="17"/>
  <c r="U183" i="17"/>
  <c r="V183" i="17"/>
  <c r="I184" i="17"/>
  <c r="J184" i="17"/>
  <c r="K184" i="17"/>
  <c r="L184" i="17"/>
  <c r="M184" i="17"/>
  <c r="P184" i="17"/>
  <c r="U184" i="17"/>
  <c r="V184" i="17"/>
  <c r="I185" i="17"/>
  <c r="J185" i="17"/>
  <c r="K185" i="17"/>
  <c r="L185" i="17"/>
  <c r="M185" i="17"/>
  <c r="P185" i="17"/>
  <c r="U185" i="17"/>
  <c r="V185" i="17"/>
  <c r="I186" i="17"/>
  <c r="J186" i="17"/>
  <c r="K186" i="17"/>
  <c r="L186" i="17"/>
  <c r="M186" i="17"/>
  <c r="P186" i="17"/>
  <c r="U186" i="17"/>
  <c r="V186" i="17"/>
  <c r="I187" i="17"/>
  <c r="J187" i="17"/>
  <c r="K187" i="17"/>
  <c r="L187" i="17"/>
  <c r="M187" i="17"/>
  <c r="P187" i="17"/>
  <c r="U187" i="17"/>
  <c r="V187" i="17"/>
  <c r="K188" i="17"/>
  <c r="L188" i="17"/>
  <c r="M188" i="17"/>
  <c r="P188" i="17"/>
  <c r="U188" i="17"/>
  <c r="V188" i="17" s="1"/>
  <c r="I189" i="17"/>
  <c r="J189" i="17"/>
  <c r="K189" i="17"/>
  <c r="L189" i="17"/>
  <c r="M189" i="17"/>
  <c r="P189" i="17"/>
  <c r="U189" i="17"/>
  <c r="V189" i="17" s="1"/>
  <c r="I190" i="17"/>
  <c r="J190" i="17"/>
  <c r="K190" i="17"/>
  <c r="L190" i="17"/>
  <c r="M190" i="17"/>
  <c r="P190" i="17"/>
  <c r="U190" i="17"/>
  <c r="V190" i="17" s="1"/>
  <c r="K191" i="17"/>
  <c r="L191" i="17"/>
  <c r="M191" i="17"/>
  <c r="P191" i="17"/>
  <c r="U191" i="17"/>
  <c r="V191" i="17"/>
  <c r="I192" i="17"/>
  <c r="J192" i="17"/>
  <c r="K192" i="17"/>
  <c r="L192" i="17"/>
  <c r="M192" i="17"/>
  <c r="P192" i="17"/>
  <c r="U192" i="17"/>
  <c r="V192" i="17"/>
  <c r="I4" i="16"/>
  <c r="J4" i="16"/>
  <c r="K4" i="16"/>
  <c r="L4" i="16"/>
  <c r="M4" i="16"/>
  <c r="P4" i="16"/>
  <c r="S4" i="16"/>
  <c r="T4" i="16"/>
  <c r="U4" i="16"/>
  <c r="R4" i="16" s="1"/>
  <c r="K5" i="16"/>
  <c r="L5" i="16"/>
  <c r="M5" i="16"/>
  <c r="P5" i="16"/>
  <c r="R5" i="16"/>
  <c r="S5" i="16"/>
  <c r="U5" i="16"/>
  <c r="T5" i="16" s="1"/>
  <c r="Y5" i="16"/>
  <c r="I6" i="16"/>
  <c r="J6" i="16"/>
  <c r="K6" i="16"/>
  <c r="L6" i="16"/>
  <c r="M6" i="16"/>
  <c r="P6" i="16"/>
  <c r="S6" i="16"/>
  <c r="T6" i="16"/>
  <c r="U6" i="16"/>
  <c r="R6" i="16" s="1"/>
  <c r="I7" i="16"/>
  <c r="J7" i="16"/>
  <c r="K7" i="16"/>
  <c r="L7" i="16"/>
  <c r="M7" i="16"/>
  <c r="P7" i="16"/>
  <c r="R7" i="16"/>
  <c r="S7" i="16"/>
  <c r="T7" i="16"/>
  <c r="Y7" i="16"/>
  <c r="I8" i="16"/>
  <c r="J8" i="16"/>
  <c r="K8" i="16"/>
  <c r="L8" i="16"/>
  <c r="M8" i="16"/>
  <c r="P8" i="16"/>
  <c r="R8" i="16"/>
  <c r="S8" i="16"/>
  <c r="T8" i="16"/>
  <c r="Y8" i="16"/>
  <c r="I9" i="16"/>
  <c r="J9" i="16"/>
  <c r="K9" i="16"/>
  <c r="L9" i="16"/>
  <c r="M9" i="16"/>
  <c r="P9" i="16"/>
  <c r="R9" i="16"/>
  <c r="S9" i="16"/>
  <c r="T9" i="16"/>
  <c r="Y9" i="16"/>
  <c r="I10" i="16"/>
  <c r="J10" i="16"/>
  <c r="K10" i="16"/>
  <c r="L10" i="16"/>
  <c r="M10" i="16"/>
  <c r="P10" i="16"/>
  <c r="R10" i="16"/>
  <c r="S10" i="16"/>
  <c r="T10" i="16"/>
  <c r="V10" i="16"/>
  <c r="W10" i="16"/>
  <c r="Y10" i="16"/>
  <c r="I11" i="16"/>
  <c r="J11" i="16"/>
  <c r="K11" i="16"/>
  <c r="L11" i="16"/>
  <c r="M11" i="16"/>
  <c r="P11" i="16"/>
  <c r="U11" i="16"/>
  <c r="T11" i="16" s="1"/>
  <c r="I12" i="16"/>
  <c r="J12" i="16"/>
  <c r="K12" i="16"/>
  <c r="L12" i="16"/>
  <c r="M12" i="16"/>
  <c r="P12" i="16"/>
  <c r="R12" i="16"/>
  <c r="S12" i="16"/>
  <c r="T12" i="16"/>
  <c r="U12" i="16"/>
  <c r="V12" i="16"/>
  <c r="W12" i="16" s="1"/>
  <c r="Y12" i="16"/>
  <c r="I13" i="16"/>
  <c r="J13" i="16"/>
  <c r="K13" i="16"/>
  <c r="L13" i="16"/>
  <c r="M13" i="16"/>
  <c r="P13" i="16"/>
  <c r="S13" i="16"/>
  <c r="U13" i="16"/>
  <c r="V13" i="16"/>
  <c r="I14" i="16"/>
  <c r="J14" i="16"/>
  <c r="K14" i="16"/>
  <c r="L14" i="16"/>
  <c r="M14" i="16"/>
  <c r="P14" i="16"/>
  <c r="R14" i="16"/>
  <c r="U14" i="16"/>
  <c r="V14" i="16"/>
  <c r="Y14" i="16"/>
  <c r="I15" i="16"/>
  <c r="J15" i="16"/>
  <c r="K15" i="16"/>
  <c r="L15" i="16"/>
  <c r="M15" i="16"/>
  <c r="P15" i="16"/>
  <c r="S15" i="16"/>
  <c r="T15" i="16"/>
  <c r="U15" i="16"/>
  <c r="R15" i="16" s="1"/>
  <c r="V15" i="16"/>
  <c r="W15" i="16" s="1"/>
  <c r="Y15" i="16"/>
  <c r="I16" i="16"/>
  <c r="J16" i="16"/>
  <c r="K16" i="16"/>
  <c r="L16" i="16"/>
  <c r="M16" i="16"/>
  <c r="P16" i="16"/>
  <c r="R16" i="16"/>
  <c r="U16" i="16"/>
  <c r="V16" i="16"/>
  <c r="I17" i="16"/>
  <c r="J17" i="16"/>
  <c r="K17" i="16"/>
  <c r="L17" i="16"/>
  <c r="M17" i="16"/>
  <c r="P17" i="16"/>
  <c r="R17" i="16"/>
  <c r="U17" i="16"/>
  <c r="V17" i="16"/>
  <c r="W17" i="16" s="1"/>
  <c r="I18" i="16"/>
  <c r="J18" i="16"/>
  <c r="K18" i="16"/>
  <c r="L18" i="16"/>
  <c r="M18" i="16"/>
  <c r="P18" i="16"/>
  <c r="R18" i="16"/>
  <c r="T18" i="16"/>
  <c r="U18" i="16"/>
  <c r="S18" i="16" s="1"/>
  <c r="Y18" i="16"/>
  <c r="I19" i="16"/>
  <c r="J19" i="16"/>
  <c r="K19" i="16"/>
  <c r="L19" i="16"/>
  <c r="M19" i="16"/>
  <c r="P19" i="16"/>
  <c r="U19" i="16"/>
  <c r="T19" i="16"/>
  <c r="I20" i="16"/>
  <c r="J20" i="16"/>
  <c r="K20" i="16"/>
  <c r="L20" i="16"/>
  <c r="M20" i="16"/>
  <c r="P20" i="16"/>
  <c r="U20" i="16"/>
  <c r="R20" i="16" s="1"/>
  <c r="Y20" i="16"/>
  <c r="K21" i="16"/>
  <c r="L21" i="16"/>
  <c r="M21" i="16"/>
  <c r="P21" i="16"/>
  <c r="R21" i="16"/>
  <c r="S21" i="16"/>
  <c r="T21" i="16"/>
  <c r="Y21" i="16"/>
  <c r="K22" i="16"/>
  <c r="L22" i="16"/>
  <c r="M22" i="16"/>
  <c r="P22" i="16"/>
  <c r="R22" i="16"/>
  <c r="U22" i="16"/>
  <c r="V22" i="16"/>
  <c r="W22" i="16"/>
  <c r="I23" i="16"/>
  <c r="J23" i="16"/>
  <c r="K23" i="16"/>
  <c r="L23" i="16"/>
  <c r="M23" i="16"/>
  <c r="P23" i="16"/>
  <c r="R23" i="16"/>
  <c r="T23" i="16"/>
  <c r="U23" i="16"/>
  <c r="S23" i="16" s="1"/>
  <c r="Y23" i="16"/>
  <c r="I24" i="16"/>
  <c r="J24" i="16"/>
  <c r="K24" i="16"/>
  <c r="L24" i="16"/>
  <c r="M24" i="16"/>
  <c r="P24" i="16"/>
  <c r="R24" i="16"/>
  <c r="S24" i="16"/>
  <c r="T24" i="16"/>
  <c r="V24" i="16"/>
  <c r="W24" i="16" s="1"/>
  <c r="Y24" i="16"/>
  <c r="K25" i="16"/>
  <c r="L25" i="16"/>
  <c r="M25" i="16"/>
  <c r="P25" i="16"/>
  <c r="S25" i="16"/>
  <c r="T25" i="16"/>
  <c r="U25" i="16"/>
  <c r="R25" i="16"/>
  <c r="V25" i="16"/>
  <c r="W25" i="16" s="1"/>
  <c r="Y25" i="16"/>
  <c r="I26" i="16"/>
  <c r="J26" i="16"/>
  <c r="K26" i="16"/>
  <c r="L26" i="16"/>
  <c r="M26" i="16"/>
  <c r="P26" i="16"/>
  <c r="R26" i="16"/>
  <c r="S26" i="16"/>
  <c r="T26" i="16"/>
  <c r="Y26" i="16"/>
  <c r="I27" i="16"/>
  <c r="J27" i="16"/>
  <c r="K27" i="16"/>
  <c r="L27" i="16"/>
  <c r="M27" i="16"/>
  <c r="P27" i="16"/>
  <c r="R27" i="16"/>
  <c r="S27" i="16"/>
  <c r="T27" i="16"/>
  <c r="Y27" i="16"/>
  <c r="I28" i="16"/>
  <c r="J28" i="16"/>
  <c r="K28" i="16"/>
  <c r="L28" i="16"/>
  <c r="M28" i="16"/>
  <c r="P28" i="16"/>
  <c r="R28" i="16"/>
  <c r="S28" i="16"/>
  <c r="T28" i="16"/>
  <c r="V28" i="16"/>
  <c r="W28" i="16" s="1"/>
  <c r="Y28" i="16"/>
  <c r="I29" i="16"/>
  <c r="J29" i="16"/>
  <c r="K29" i="16"/>
  <c r="L29" i="16"/>
  <c r="M29" i="16"/>
  <c r="P29" i="16"/>
  <c r="R29" i="16"/>
  <c r="S29" i="16"/>
  <c r="T29" i="16"/>
  <c r="Y29" i="16"/>
  <c r="I30" i="16"/>
  <c r="J30" i="16"/>
  <c r="K30" i="16"/>
  <c r="L30" i="16"/>
  <c r="M30" i="16"/>
  <c r="P30" i="16"/>
  <c r="U30" i="16"/>
  <c r="I31" i="16"/>
  <c r="J31" i="16"/>
  <c r="K31" i="16"/>
  <c r="L31" i="16"/>
  <c r="M31" i="16"/>
  <c r="P31" i="16"/>
  <c r="R31" i="16"/>
  <c r="S31" i="16"/>
  <c r="T31" i="16"/>
  <c r="Y31" i="16"/>
  <c r="I32" i="16"/>
  <c r="J32" i="16"/>
  <c r="K32" i="16"/>
  <c r="L32" i="16"/>
  <c r="M32" i="16"/>
  <c r="P32" i="16"/>
  <c r="T32" i="16"/>
  <c r="U32" i="16"/>
  <c r="I33" i="16"/>
  <c r="J33" i="16"/>
  <c r="K33" i="16"/>
  <c r="L33" i="16"/>
  <c r="M33" i="16"/>
  <c r="P33" i="16"/>
  <c r="R33" i="16"/>
  <c r="S33" i="16"/>
  <c r="T33" i="16"/>
  <c r="Y33" i="16"/>
  <c r="I34" i="16"/>
  <c r="J34" i="16"/>
  <c r="K34" i="16"/>
  <c r="L34" i="16"/>
  <c r="M34" i="16"/>
  <c r="P34" i="16"/>
  <c r="U34" i="16"/>
  <c r="I35" i="16"/>
  <c r="J35" i="16"/>
  <c r="K35" i="16"/>
  <c r="L35" i="16"/>
  <c r="M35" i="16"/>
  <c r="P35" i="16"/>
  <c r="R35" i="16"/>
  <c r="S35" i="16"/>
  <c r="T35" i="16"/>
  <c r="Y35" i="16"/>
  <c r="I36" i="16"/>
  <c r="J36" i="16"/>
  <c r="K36" i="16"/>
  <c r="L36" i="16"/>
  <c r="M36" i="16"/>
  <c r="P36" i="16"/>
  <c r="U36" i="16"/>
  <c r="T36" i="16" s="1"/>
  <c r="I37" i="16"/>
  <c r="J37" i="16"/>
  <c r="K37" i="16"/>
  <c r="L37" i="16"/>
  <c r="M37" i="16"/>
  <c r="P37" i="16"/>
  <c r="R37" i="16"/>
  <c r="S37" i="16"/>
  <c r="T37" i="16"/>
  <c r="Y37" i="16"/>
  <c r="I38" i="16"/>
  <c r="J38" i="16"/>
  <c r="K38" i="16"/>
  <c r="L38" i="16"/>
  <c r="M38" i="16"/>
  <c r="P38" i="16"/>
  <c r="U38" i="16"/>
  <c r="S38" i="16"/>
  <c r="I39" i="16"/>
  <c r="J39" i="16"/>
  <c r="K39" i="16"/>
  <c r="L39" i="16"/>
  <c r="M39" i="16"/>
  <c r="P39" i="16"/>
  <c r="R39" i="16"/>
  <c r="S39" i="16"/>
  <c r="T39" i="16"/>
  <c r="Y39" i="16"/>
  <c r="I40" i="16"/>
  <c r="J40" i="16"/>
  <c r="K40" i="16"/>
  <c r="L40" i="16"/>
  <c r="M40" i="16"/>
  <c r="P40" i="16"/>
  <c r="U40" i="16"/>
  <c r="T40" i="16" s="1"/>
  <c r="I41" i="16"/>
  <c r="J41" i="16"/>
  <c r="K41" i="16"/>
  <c r="L41" i="16"/>
  <c r="M41" i="16"/>
  <c r="P41" i="16"/>
  <c r="R41" i="16"/>
  <c r="S41" i="16"/>
  <c r="T41" i="16"/>
  <c r="Y41" i="16"/>
  <c r="I42" i="16"/>
  <c r="J42" i="16"/>
  <c r="K42" i="16"/>
  <c r="L42" i="16"/>
  <c r="M42" i="16"/>
  <c r="P42" i="16"/>
  <c r="U42" i="16"/>
  <c r="R42" i="16" s="1"/>
  <c r="V42" i="16"/>
  <c r="I43" i="16"/>
  <c r="J43" i="16"/>
  <c r="K43" i="16"/>
  <c r="L43" i="16"/>
  <c r="M43" i="16"/>
  <c r="P43" i="16"/>
  <c r="R43" i="16"/>
  <c r="S43" i="16"/>
  <c r="T43" i="16"/>
  <c r="V43" i="16"/>
  <c r="W43" i="16" s="1"/>
  <c r="Y43" i="16"/>
  <c r="I44" i="16"/>
  <c r="J44" i="16"/>
  <c r="K44" i="16"/>
  <c r="L44" i="16"/>
  <c r="M44" i="16"/>
  <c r="P44" i="16"/>
  <c r="S44" i="16"/>
  <c r="U44" i="16"/>
  <c r="V44" i="16"/>
  <c r="W44" i="16" s="1"/>
  <c r="I45" i="16"/>
  <c r="J45" i="16"/>
  <c r="K45" i="16"/>
  <c r="L45" i="16"/>
  <c r="M45" i="16"/>
  <c r="P45" i="16"/>
  <c r="R45" i="16"/>
  <c r="S45" i="16"/>
  <c r="T45" i="16"/>
  <c r="V45" i="16"/>
  <c r="W45" i="16" s="1"/>
  <c r="Y45" i="16"/>
  <c r="I46" i="16"/>
  <c r="J46" i="16"/>
  <c r="K46" i="16"/>
  <c r="L46" i="16"/>
  <c r="M46" i="16"/>
  <c r="P46" i="16"/>
  <c r="U46" i="16"/>
  <c r="V46" i="16"/>
  <c r="I47" i="16"/>
  <c r="J47" i="16"/>
  <c r="K47" i="16"/>
  <c r="L47" i="16"/>
  <c r="M47" i="16"/>
  <c r="P47" i="16"/>
  <c r="R47" i="16"/>
  <c r="S47" i="16"/>
  <c r="T47" i="16"/>
  <c r="V47" i="16"/>
  <c r="W47" i="16" s="1"/>
  <c r="Y47" i="16"/>
  <c r="I48" i="16"/>
  <c r="J48" i="16"/>
  <c r="K48" i="16"/>
  <c r="L48" i="16"/>
  <c r="M48" i="16"/>
  <c r="P48" i="16"/>
  <c r="U48" i="16"/>
  <c r="R48" i="16" s="1"/>
  <c r="V48" i="16"/>
  <c r="I49" i="16"/>
  <c r="J49" i="16"/>
  <c r="K49" i="16"/>
  <c r="L49" i="16"/>
  <c r="M49" i="16"/>
  <c r="P49" i="16"/>
  <c r="R49" i="16"/>
  <c r="S49" i="16"/>
  <c r="T49" i="16"/>
  <c r="V49" i="16"/>
  <c r="W49" i="16" s="1"/>
  <c r="Y49" i="16"/>
  <c r="I50" i="16"/>
  <c r="J50" i="16"/>
  <c r="K50" i="16"/>
  <c r="L50" i="16"/>
  <c r="M50" i="16"/>
  <c r="P50" i="16"/>
  <c r="T50" i="16"/>
  <c r="U50" i="16"/>
  <c r="V50" i="16"/>
  <c r="Y50" i="16"/>
  <c r="I51" i="16"/>
  <c r="J51" i="16"/>
  <c r="K51" i="16"/>
  <c r="L51" i="16"/>
  <c r="M51" i="16"/>
  <c r="P51" i="16"/>
  <c r="R51" i="16"/>
  <c r="S51" i="16"/>
  <c r="T51" i="16"/>
  <c r="V51" i="16"/>
  <c r="W51" i="16" s="1"/>
  <c r="Y51" i="16"/>
  <c r="I52" i="16"/>
  <c r="J52" i="16"/>
  <c r="K52" i="16"/>
  <c r="L52" i="16"/>
  <c r="M52" i="16"/>
  <c r="P52" i="16"/>
  <c r="U52" i="16"/>
  <c r="S52" i="16" s="1"/>
  <c r="I53" i="16"/>
  <c r="J53" i="16"/>
  <c r="K53" i="16"/>
  <c r="L53" i="16"/>
  <c r="M53" i="16"/>
  <c r="P53" i="16"/>
  <c r="U53" i="16"/>
  <c r="T53" i="16" s="1"/>
  <c r="I54" i="16"/>
  <c r="J54" i="16"/>
  <c r="K54" i="16"/>
  <c r="L54" i="16"/>
  <c r="M54" i="16"/>
  <c r="P54" i="16"/>
  <c r="S54" i="16"/>
  <c r="U54" i="16"/>
  <c r="I55" i="16"/>
  <c r="J55" i="16"/>
  <c r="K55" i="16"/>
  <c r="L55" i="16"/>
  <c r="M55" i="16"/>
  <c r="P55" i="16"/>
  <c r="T55" i="16"/>
  <c r="U55" i="16"/>
  <c r="S55" i="16" s="1"/>
  <c r="Y55" i="16"/>
  <c r="I56" i="16"/>
  <c r="J56" i="16"/>
  <c r="K56" i="16"/>
  <c r="L56" i="16"/>
  <c r="M56" i="16"/>
  <c r="P56" i="16"/>
  <c r="U56" i="16"/>
  <c r="T56" i="16"/>
  <c r="V56" i="16"/>
  <c r="I57" i="16"/>
  <c r="J57" i="16"/>
  <c r="K57" i="16"/>
  <c r="L57" i="16"/>
  <c r="M57" i="16"/>
  <c r="P57" i="16"/>
  <c r="U57" i="16"/>
  <c r="V57" i="16"/>
  <c r="I58" i="16"/>
  <c r="J58" i="16"/>
  <c r="K58" i="16"/>
  <c r="L58" i="16"/>
  <c r="M58" i="16"/>
  <c r="P58" i="16"/>
  <c r="U58" i="16"/>
  <c r="R58" i="16" s="1"/>
  <c r="V58" i="16"/>
  <c r="I59" i="16"/>
  <c r="J59" i="16"/>
  <c r="K59" i="16"/>
  <c r="L59" i="16"/>
  <c r="M59" i="16"/>
  <c r="P59" i="16"/>
  <c r="S59" i="16"/>
  <c r="T59" i="16"/>
  <c r="U59" i="16"/>
  <c r="R59" i="16" s="1"/>
  <c r="V59" i="16"/>
  <c r="W59" i="16"/>
  <c r="Y59" i="16"/>
  <c r="I60" i="16"/>
  <c r="J60" i="16"/>
  <c r="K60" i="16"/>
  <c r="L60" i="16"/>
  <c r="M60" i="16"/>
  <c r="P60" i="16"/>
  <c r="S60" i="16"/>
  <c r="U60" i="16"/>
  <c r="T60" i="16" s="1"/>
  <c r="V60" i="16"/>
  <c r="W60" i="16"/>
  <c r="I61" i="16"/>
  <c r="J61" i="16"/>
  <c r="K61" i="16"/>
  <c r="L61" i="16"/>
  <c r="M61" i="16"/>
  <c r="P61" i="16"/>
  <c r="U61" i="16"/>
  <c r="V61" i="16"/>
  <c r="I62" i="16"/>
  <c r="J62" i="16"/>
  <c r="K62" i="16"/>
  <c r="L62" i="16"/>
  <c r="M62" i="16"/>
  <c r="P62" i="16"/>
  <c r="U62" i="16"/>
  <c r="R62" i="16"/>
  <c r="I63" i="16"/>
  <c r="J63" i="16"/>
  <c r="K63" i="16"/>
  <c r="L63" i="16"/>
  <c r="M63" i="16"/>
  <c r="P63" i="16"/>
  <c r="T63" i="16"/>
  <c r="U63" i="16"/>
  <c r="I64" i="16"/>
  <c r="J64" i="16"/>
  <c r="K64" i="16"/>
  <c r="L64" i="16"/>
  <c r="M64" i="16"/>
  <c r="P64" i="16"/>
  <c r="S64" i="16"/>
  <c r="U64" i="16"/>
  <c r="T64" i="16"/>
  <c r="I65" i="16"/>
  <c r="J65" i="16"/>
  <c r="K65" i="16"/>
  <c r="L65" i="16"/>
  <c r="M65" i="16"/>
  <c r="P65" i="16"/>
  <c r="S65" i="16"/>
  <c r="T65" i="16"/>
  <c r="U65" i="16"/>
  <c r="R65" i="16" s="1"/>
  <c r="I66" i="16"/>
  <c r="J66" i="16"/>
  <c r="K66" i="16"/>
  <c r="L66" i="16"/>
  <c r="M66" i="16"/>
  <c r="P66" i="16"/>
  <c r="U66" i="16"/>
  <c r="R66" i="16" s="1"/>
  <c r="I67" i="16"/>
  <c r="J67" i="16"/>
  <c r="K67" i="16"/>
  <c r="L67" i="16"/>
  <c r="M67" i="16"/>
  <c r="P67" i="16"/>
  <c r="U67" i="16"/>
  <c r="S67" i="16"/>
  <c r="I68" i="16"/>
  <c r="J68" i="16"/>
  <c r="K68" i="16"/>
  <c r="L68" i="16"/>
  <c r="M68" i="16"/>
  <c r="P68" i="16"/>
  <c r="R68" i="16"/>
  <c r="S68" i="16"/>
  <c r="T68" i="16"/>
  <c r="Y68" i="16"/>
  <c r="I69" i="16"/>
  <c r="J69" i="16"/>
  <c r="K69" i="16"/>
  <c r="L69" i="16"/>
  <c r="M69" i="16"/>
  <c r="P69" i="16"/>
  <c r="U69" i="16"/>
  <c r="R69" i="16"/>
  <c r="V69" i="16"/>
  <c r="I70" i="16"/>
  <c r="J70" i="16"/>
  <c r="K70" i="16"/>
  <c r="L70" i="16"/>
  <c r="M70" i="16"/>
  <c r="P70" i="16"/>
  <c r="R70" i="16"/>
  <c r="S70" i="16"/>
  <c r="T70" i="16"/>
  <c r="U70" i="16"/>
  <c r="V70" i="16"/>
  <c r="W70" i="16" s="1"/>
  <c r="Y70" i="16"/>
  <c r="I71" i="16"/>
  <c r="J71" i="16"/>
  <c r="K71" i="16"/>
  <c r="L71" i="16"/>
  <c r="M71" i="16"/>
  <c r="P71" i="16"/>
  <c r="S71" i="16"/>
  <c r="U71" i="16"/>
  <c r="T71" i="16" s="1"/>
  <c r="V71" i="16"/>
  <c r="W71" i="16" s="1"/>
  <c r="I72" i="16"/>
  <c r="J72" i="16"/>
  <c r="K72" i="16"/>
  <c r="L72" i="16"/>
  <c r="M72" i="16"/>
  <c r="P72" i="16"/>
  <c r="R72" i="16"/>
  <c r="T72" i="16"/>
  <c r="U72" i="16"/>
  <c r="S72" i="16" s="1"/>
  <c r="V72" i="16"/>
  <c r="Y72" i="16"/>
  <c r="I73" i="16"/>
  <c r="J73" i="16"/>
  <c r="K73" i="16"/>
  <c r="L73" i="16"/>
  <c r="M73" i="16"/>
  <c r="P73" i="16"/>
  <c r="U73" i="16"/>
  <c r="R73" i="16"/>
  <c r="V73" i="16"/>
  <c r="I74" i="16"/>
  <c r="J74" i="16"/>
  <c r="K74" i="16"/>
  <c r="L74" i="16"/>
  <c r="M74" i="16"/>
  <c r="P74" i="16"/>
  <c r="R74" i="16"/>
  <c r="U74" i="16"/>
  <c r="V74" i="16"/>
  <c r="I75" i="16"/>
  <c r="J75" i="16"/>
  <c r="K75" i="16"/>
  <c r="L75" i="16"/>
  <c r="M75" i="16"/>
  <c r="P75" i="16"/>
  <c r="R75" i="16"/>
  <c r="S75" i="16"/>
  <c r="T75" i="16"/>
  <c r="V75" i="16"/>
  <c r="W75" i="16" s="1"/>
  <c r="Y75" i="16"/>
  <c r="I76" i="16"/>
  <c r="J76" i="16"/>
  <c r="K76" i="16"/>
  <c r="L76" i="16"/>
  <c r="M76" i="16"/>
  <c r="P76" i="16"/>
  <c r="R76" i="16"/>
  <c r="S76" i="16"/>
  <c r="T76" i="16"/>
  <c r="V76" i="16"/>
  <c r="W76" i="16" s="1"/>
  <c r="Y76" i="16"/>
  <c r="I77" i="16"/>
  <c r="J77" i="16"/>
  <c r="K77" i="16"/>
  <c r="L77" i="16"/>
  <c r="M77" i="16"/>
  <c r="P77" i="16"/>
  <c r="S77" i="16"/>
  <c r="U77" i="16"/>
  <c r="T77" i="16"/>
  <c r="I78" i="16"/>
  <c r="J78" i="16"/>
  <c r="K78" i="16"/>
  <c r="L78" i="16"/>
  <c r="M78" i="16"/>
  <c r="P78" i="16"/>
  <c r="S78" i="16"/>
  <c r="T78" i="16"/>
  <c r="U78" i="16"/>
  <c r="R78" i="16" s="1"/>
  <c r="I79" i="16"/>
  <c r="J79" i="16"/>
  <c r="K79" i="16"/>
  <c r="L79" i="16"/>
  <c r="M79" i="16"/>
  <c r="P79" i="16"/>
  <c r="U79" i="16"/>
  <c r="R79" i="16" s="1"/>
  <c r="V79" i="16"/>
  <c r="I80" i="16"/>
  <c r="J80" i="16"/>
  <c r="K80" i="16"/>
  <c r="L80" i="16"/>
  <c r="M80" i="16"/>
  <c r="P80" i="16"/>
  <c r="S80" i="16"/>
  <c r="T80" i="16"/>
  <c r="U80" i="16"/>
  <c r="R80" i="16" s="1"/>
  <c r="K81" i="16"/>
  <c r="L81" i="16"/>
  <c r="M81" i="16"/>
  <c r="P81" i="16"/>
  <c r="R81" i="16"/>
  <c r="S81" i="16"/>
  <c r="T81" i="16"/>
  <c r="V81" i="16"/>
  <c r="W81" i="16"/>
  <c r="Y81" i="16"/>
  <c r="I82" i="16"/>
  <c r="J82" i="16"/>
  <c r="K82" i="16"/>
  <c r="L82" i="16"/>
  <c r="M82" i="16"/>
  <c r="P82" i="16"/>
  <c r="S82" i="16"/>
  <c r="U82" i="16"/>
  <c r="T82" i="16" s="1"/>
  <c r="I83" i="16"/>
  <c r="J83" i="16"/>
  <c r="K83" i="16"/>
  <c r="L83" i="16"/>
  <c r="M83" i="16"/>
  <c r="P83" i="16"/>
  <c r="R83" i="16"/>
  <c r="S83" i="16"/>
  <c r="T83" i="16"/>
  <c r="V83" i="16"/>
  <c r="W83" i="16"/>
  <c r="Y83" i="16"/>
  <c r="R84" i="16"/>
  <c r="S84" i="16"/>
  <c r="T84" i="16"/>
  <c r="V84" i="16"/>
  <c r="W84" i="16" s="1"/>
  <c r="Y84" i="16"/>
  <c r="I85" i="16"/>
  <c r="J85" i="16"/>
  <c r="K85" i="16"/>
  <c r="L85" i="16"/>
  <c r="M85" i="16"/>
  <c r="P85" i="16"/>
  <c r="R85" i="16"/>
  <c r="S85" i="16"/>
  <c r="T85" i="16"/>
  <c r="Y85" i="16"/>
  <c r="I86" i="16"/>
  <c r="J86" i="16"/>
  <c r="K86" i="16"/>
  <c r="L86" i="16"/>
  <c r="M86" i="16"/>
  <c r="P86" i="16"/>
  <c r="R86" i="16"/>
  <c r="S86" i="16"/>
  <c r="T86" i="16"/>
  <c r="V86" i="16"/>
  <c r="W86" i="16"/>
  <c r="Y86" i="16"/>
  <c r="I87" i="16"/>
  <c r="J87" i="16"/>
  <c r="K87" i="16"/>
  <c r="L87" i="16"/>
  <c r="M87" i="16"/>
  <c r="P87" i="16"/>
  <c r="R87" i="16"/>
  <c r="S87" i="16"/>
  <c r="T87" i="16"/>
  <c r="Y87" i="16"/>
  <c r="I88" i="16"/>
  <c r="J88" i="16"/>
  <c r="K88" i="16"/>
  <c r="L88" i="16"/>
  <c r="M88" i="16"/>
  <c r="P88" i="16"/>
  <c r="R88" i="16"/>
  <c r="S88" i="16"/>
  <c r="T88" i="16"/>
  <c r="Y88" i="16"/>
  <c r="I89" i="16"/>
  <c r="J89" i="16"/>
  <c r="K89" i="16"/>
  <c r="L89" i="16"/>
  <c r="M89" i="16"/>
  <c r="P89" i="16"/>
  <c r="R89" i="16"/>
  <c r="S89" i="16"/>
  <c r="T89" i="16"/>
  <c r="Y89" i="16"/>
  <c r="I90" i="16"/>
  <c r="J90" i="16"/>
  <c r="K90" i="16"/>
  <c r="L90" i="16"/>
  <c r="M90" i="16"/>
  <c r="P90" i="16"/>
  <c r="R90" i="16"/>
  <c r="S90" i="16"/>
  <c r="T90" i="16"/>
  <c r="V90" i="16"/>
  <c r="W90" i="16" s="1"/>
  <c r="Y90" i="16"/>
  <c r="I91" i="16"/>
  <c r="J91" i="16"/>
  <c r="K91" i="16"/>
  <c r="L91" i="16"/>
  <c r="M91" i="16"/>
  <c r="P91" i="16"/>
  <c r="T91" i="16"/>
  <c r="U91" i="16"/>
  <c r="V91" i="16"/>
  <c r="Y91" i="16"/>
  <c r="I92" i="16"/>
  <c r="J92" i="16"/>
  <c r="K92" i="16"/>
  <c r="L92" i="16"/>
  <c r="M92" i="16"/>
  <c r="P92" i="16"/>
  <c r="R92" i="16"/>
  <c r="S92" i="16"/>
  <c r="T92" i="16"/>
  <c r="Y92" i="16"/>
  <c r="I93" i="16"/>
  <c r="J93" i="16"/>
  <c r="K93" i="16"/>
  <c r="L93" i="16"/>
  <c r="M93" i="16"/>
  <c r="P93" i="16"/>
  <c r="S93" i="16"/>
  <c r="U93" i="16"/>
  <c r="T93" i="16" s="1"/>
  <c r="I94" i="16"/>
  <c r="J94" i="16"/>
  <c r="K94" i="16"/>
  <c r="L94" i="16"/>
  <c r="M94" i="16"/>
  <c r="P94" i="16"/>
  <c r="T94" i="16"/>
  <c r="U94" i="16"/>
  <c r="V94" i="16"/>
  <c r="Y94" i="16"/>
  <c r="I95" i="16"/>
  <c r="J95" i="16"/>
  <c r="K95" i="16"/>
  <c r="L95" i="16"/>
  <c r="M95" i="16"/>
  <c r="P95" i="16"/>
  <c r="R95" i="16"/>
  <c r="S95" i="16"/>
  <c r="T95" i="16"/>
  <c r="Y95" i="16"/>
  <c r="I96" i="16"/>
  <c r="J96" i="16"/>
  <c r="K96" i="16"/>
  <c r="L96" i="16"/>
  <c r="M96" i="16"/>
  <c r="P96" i="16"/>
  <c r="U96" i="16"/>
  <c r="V96" i="16"/>
  <c r="I97" i="16"/>
  <c r="J97" i="16"/>
  <c r="K97" i="16"/>
  <c r="L97" i="16"/>
  <c r="M97" i="16"/>
  <c r="P97" i="16"/>
  <c r="R97" i="16"/>
  <c r="S97" i="16"/>
  <c r="T97" i="16"/>
  <c r="Y97" i="16"/>
  <c r="I98" i="16"/>
  <c r="J98" i="16"/>
  <c r="K98" i="16"/>
  <c r="L98" i="16"/>
  <c r="M98" i="16"/>
  <c r="P98" i="16"/>
  <c r="R98" i="16"/>
  <c r="S98" i="16"/>
  <c r="T98" i="16"/>
  <c r="Y98" i="16"/>
  <c r="I99" i="16"/>
  <c r="J99" i="16"/>
  <c r="K99" i="16"/>
  <c r="L99" i="16"/>
  <c r="M99" i="16"/>
  <c r="P99" i="16"/>
  <c r="R99" i="16"/>
  <c r="S99" i="16"/>
  <c r="T99" i="16"/>
  <c r="Y99" i="16"/>
  <c r="I100" i="16"/>
  <c r="J100" i="16"/>
  <c r="K100" i="16"/>
  <c r="L100" i="16"/>
  <c r="M100" i="16"/>
  <c r="P100" i="16"/>
  <c r="R100" i="16"/>
  <c r="T100" i="16"/>
  <c r="U100" i="16"/>
  <c r="S100" i="16" s="1"/>
  <c r="Y100" i="16"/>
  <c r="I101" i="16"/>
  <c r="J101" i="16"/>
  <c r="K101" i="16"/>
  <c r="L101" i="16"/>
  <c r="M101" i="16"/>
  <c r="P101" i="16"/>
  <c r="U101" i="16"/>
  <c r="V101" i="16"/>
  <c r="I102" i="16"/>
  <c r="J102" i="16"/>
  <c r="K102" i="16"/>
  <c r="L102" i="16"/>
  <c r="M102" i="16"/>
  <c r="P102" i="16"/>
  <c r="U102" i="16"/>
  <c r="S102" i="16" s="1"/>
  <c r="V102" i="16"/>
  <c r="I103" i="16"/>
  <c r="J103" i="16"/>
  <c r="K103" i="16"/>
  <c r="L103" i="16"/>
  <c r="M103" i="16"/>
  <c r="P103" i="16"/>
  <c r="U103" i="16"/>
  <c r="R103" i="16" s="1"/>
  <c r="V103" i="16"/>
  <c r="I104" i="16"/>
  <c r="J104" i="16"/>
  <c r="K104" i="16"/>
  <c r="L104" i="16"/>
  <c r="M104" i="16"/>
  <c r="P104" i="16"/>
  <c r="S104" i="16"/>
  <c r="T104" i="16"/>
  <c r="U104" i="16"/>
  <c r="R104" i="16" s="1"/>
  <c r="I105" i="16"/>
  <c r="J105" i="16"/>
  <c r="K105" i="16"/>
  <c r="L105" i="16"/>
  <c r="M105" i="16"/>
  <c r="P105" i="16"/>
  <c r="U105" i="16"/>
  <c r="R105" i="16" s="1"/>
  <c r="V105" i="16"/>
  <c r="W105" i="16" s="1"/>
  <c r="I106" i="16"/>
  <c r="J106" i="16"/>
  <c r="K106" i="16"/>
  <c r="L106" i="16"/>
  <c r="M106" i="16"/>
  <c r="P106" i="16"/>
  <c r="S106" i="16"/>
  <c r="T106" i="16"/>
  <c r="U106" i="16"/>
  <c r="R106" i="16" s="1"/>
  <c r="V106" i="16"/>
  <c r="W106" i="16"/>
  <c r="Y106" i="16"/>
  <c r="I107" i="16"/>
  <c r="J107" i="16"/>
  <c r="K107" i="16"/>
  <c r="L107" i="16"/>
  <c r="M107" i="16"/>
  <c r="P107" i="16"/>
  <c r="U107" i="16"/>
  <c r="V107" i="16"/>
  <c r="I108" i="16"/>
  <c r="J108" i="16"/>
  <c r="K108" i="16"/>
  <c r="L108" i="16"/>
  <c r="M108" i="16"/>
  <c r="P108" i="16"/>
  <c r="T108" i="16"/>
  <c r="U108" i="16"/>
  <c r="V108" i="16"/>
  <c r="Y108" i="16"/>
  <c r="I109" i="16"/>
  <c r="J109" i="16"/>
  <c r="K109" i="16"/>
  <c r="L109" i="16"/>
  <c r="M109" i="16"/>
  <c r="P109" i="16"/>
  <c r="U109" i="16"/>
  <c r="R109" i="16"/>
  <c r="V109" i="16"/>
  <c r="I110" i="16"/>
  <c r="J110" i="16"/>
  <c r="K110" i="16"/>
  <c r="L110" i="16"/>
  <c r="M110" i="16"/>
  <c r="P110" i="16"/>
  <c r="R110" i="16"/>
  <c r="S110" i="16"/>
  <c r="T110" i="16"/>
  <c r="U110" i="16"/>
  <c r="Y110" i="16"/>
  <c r="I111" i="16"/>
  <c r="J111" i="16"/>
  <c r="K111" i="16"/>
  <c r="L111" i="16"/>
  <c r="M111" i="16"/>
  <c r="P111" i="16"/>
  <c r="R111" i="16"/>
  <c r="S111" i="16"/>
  <c r="T111" i="16"/>
  <c r="Y111" i="16"/>
  <c r="I112" i="16"/>
  <c r="J112" i="16"/>
  <c r="K112" i="16"/>
  <c r="L112" i="16"/>
  <c r="M112" i="16"/>
  <c r="P112" i="16"/>
  <c r="S112" i="16"/>
  <c r="U112" i="16"/>
  <c r="T112" i="16" s="1"/>
  <c r="I113" i="16"/>
  <c r="J113" i="16"/>
  <c r="K113" i="16"/>
  <c r="L113" i="16"/>
  <c r="M113" i="16"/>
  <c r="P113" i="16"/>
  <c r="R113" i="16"/>
  <c r="S113" i="16"/>
  <c r="T113" i="16"/>
  <c r="V113" i="16"/>
  <c r="W113" i="16" s="1"/>
  <c r="Y113" i="16"/>
  <c r="I114" i="16"/>
  <c r="J114" i="16"/>
  <c r="K114" i="16"/>
  <c r="L114" i="16"/>
  <c r="M114" i="16"/>
  <c r="P114" i="16"/>
  <c r="R114" i="16"/>
  <c r="S114" i="16"/>
  <c r="T114" i="16"/>
  <c r="V114" i="16"/>
  <c r="W114" i="16" s="1"/>
  <c r="Y114" i="16"/>
  <c r="I115" i="16"/>
  <c r="J115" i="16"/>
  <c r="K115" i="16"/>
  <c r="L115" i="16"/>
  <c r="M115" i="16"/>
  <c r="P115" i="16"/>
  <c r="R115" i="16"/>
  <c r="S115" i="16"/>
  <c r="T115" i="16"/>
  <c r="Y115" i="16"/>
  <c r="I116" i="16"/>
  <c r="J116" i="16"/>
  <c r="K116" i="16"/>
  <c r="L116" i="16"/>
  <c r="M116" i="16"/>
  <c r="P116" i="16"/>
  <c r="R116" i="16"/>
  <c r="T116" i="16"/>
  <c r="U116" i="16"/>
  <c r="S116" i="16" s="1"/>
  <c r="Y116" i="16"/>
  <c r="I117" i="16"/>
  <c r="J117" i="16"/>
  <c r="K117" i="16"/>
  <c r="L117" i="16"/>
  <c r="M117" i="16"/>
  <c r="P117" i="16"/>
  <c r="U117" i="16"/>
  <c r="T117" i="16"/>
  <c r="V117" i="16"/>
  <c r="I118" i="16"/>
  <c r="J118" i="16"/>
  <c r="K118" i="16"/>
  <c r="L118" i="16"/>
  <c r="M118" i="16"/>
  <c r="P118" i="16"/>
  <c r="U118" i="16"/>
  <c r="V118" i="16"/>
  <c r="I119" i="16"/>
  <c r="J119" i="16"/>
  <c r="K119" i="16"/>
  <c r="L119" i="16"/>
  <c r="M119" i="16"/>
  <c r="P119" i="16"/>
  <c r="R119" i="16"/>
  <c r="S119" i="16"/>
  <c r="T119" i="16"/>
  <c r="Y119" i="16"/>
  <c r="I120" i="16"/>
  <c r="J120" i="16"/>
  <c r="K120" i="16"/>
  <c r="L120" i="16"/>
  <c r="M120" i="16"/>
  <c r="P120" i="16"/>
  <c r="R120" i="16"/>
  <c r="S120" i="16"/>
  <c r="T120" i="16"/>
  <c r="Y120" i="16"/>
  <c r="I121" i="16"/>
  <c r="J121" i="16"/>
  <c r="K121" i="16"/>
  <c r="L121" i="16"/>
  <c r="M121" i="16"/>
  <c r="P121" i="16"/>
  <c r="R121" i="16"/>
  <c r="S121" i="16"/>
  <c r="T121" i="16"/>
  <c r="Y121" i="16"/>
  <c r="I122" i="16"/>
  <c r="J122" i="16"/>
  <c r="K122" i="16"/>
  <c r="L122" i="16"/>
  <c r="M122" i="16"/>
  <c r="P122" i="16"/>
  <c r="R122" i="16"/>
  <c r="S122" i="16"/>
  <c r="T122" i="16"/>
  <c r="Y122" i="16"/>
  <c r="I123" i="16"/>
  <c r="J123" i="16"/>
  <c r="K123" i="16"/>
  <c r="L123" i="16"/>
  <c r="M123" i="16"/>
  <c r="P123" i="16"/>
  <c r="R123" i="16"/>
  <c r="S123" i="16"/>
  <c r="T123" i="16"/>
  <c r="Y123" i="16"/>
  <c r="I124" i="16"/>
  <c r="J124" i="16"/>
  <c r="K124" i="16"/>
  <c r="L124" i="16"/>
  <c r="M124" i="16"/>
  <c r="P124" i="16"/>
  <c r="R124" i="16"/>
  <c r="S124" i="16"/>
  <c r="T124" i="16"/>
  <c r="Y124" i="16"/>
  <c r="I125" i="16"/>
  <c r="J125" i="16"/>
  <c r="K125" i="16"/>
  <c r="L125" i="16"/>
  <c r="M125" i="16"/>
  <c r="P125" i="16"/>
  <c r="R125" i="16"/>
  <c r="S125" i="16"/>
  <c r="T125" i="16"/>
  <c r="Y125" i="16"/>
  <c r="I126" i="16"/>
  <c r="J126" i="16"/>
  <c r="K126" i="16"/>
  <c r="L126" i="16"/>
  <c r="M126" i="16"/>
  <c r="P126" i="16"/>
  <c r="R126" i="16"/>
  <c r="S126" i="16"/>
  <c r="T126" i="16"/>
  <c r="V126" i="16"/>
  <c r="W126" i="16"/>
  <c r="Y126" i="16"/>
  <c r="I127" i="16"/>
  <c r="J127" i="16"/>
  <c r="K127" i="16"/>
  <c r="L127" i="16"/>
  <c r="M127" i="16"/>
  <c r="P127" i="16"/>
  <c r="R127" i="16"/>
  <c r="S127" i="16"/>
  <c r="T127" i="16"/>
  <c r="V127" i="16"/>
  <c r="W127" i="16"/>
  <c r="Y127" i="16"/>
  <c r="I128" i="16"/>
  <c r="J128" i="16"/>
  <c r="K128" i="16"/>
  <c r="L128" i="16"/>
  <c r="M128" i="16"/>
  <c r="P128" i="16"/>
  <c r="R128" i="16"/>
  <c r="S128" i="16"/>
  <c r="T128" i="16"/>
  <c r="V128" i="16"/>
  <c r="W128" i="16"/>
  <c r="Y128" i="16"/>
  <c r="I129" i="16"/>
  <c r="J129" i="16"/>
  <c r="K129" i="16"/>
  <c r="L129" i="16"/>
  <c r="M129" i="16"/>
  <c r="P129" i="16"/>
  <c r="R129" i="16"/>
  <c r="S129" i="16"/>
  <c r="T129" i="16"/>
  <c r="Y129" i="16"/>
  <c r="I130" i="16"/>
  <c r="J130" i="16"/>
  <c r="K130" i="16"/>
  <c r="L130" i="16"/>
  <c r="M130" i="16"/>
  <c r="P130" i="16"/>
  <c r="U130" i="16"/>
  <c r="R130" i="16" s="1"/>
  <c r="I131" i="16"/>
  <c r="J131" i="16"/>
  <c r="K131" i="16"/>
  <c r="L131" i="16"/>
  <c r="M131" i="16"/>
  <c r="P131" i="16"/>
  <c r="U131" i="16"/>
  <c r="I132" i="16"/>
  <c r="J132" i="16"/>
  <c r="K132" i="16"/>
  <c r="L132" i="16"/>
  <c r="M132" i="16"/>
  <c r="P132" i="16"/>
  <c r="S132" i="16"/>
  <c r="U132" i="16"/>
  <c r="T132" i="16" s="1"/>
  <c r="I133" i="16"/>
  <c r="J133" i="16"/>
  <c r="K133" i="16"/>
  <c r="L133" i="16"/>
  <c r="M133" i="16"/>
  <c r="P133" i="16"/>
  <c r="R133" i="16"/>
  <c r="S133" i="16"/>
  <c r="T133" i="16"/>
  <c r="Y133" i="16"/>
  <c r="I134" i="16"/>
  <c r="J134" i="16"/>
  <c r="K134" i="16"/>
  <c r="L134" i="16"/>
  <c r="M134" i="16"/>
  <c r="P134" i="16"/>
  <c r="R134" i="16"/>
  <c r="T134" i="16"/>
  <c r="U134" i="16"/>
  <c r="S134" i="16" s="1"/>
  <c r="V134" i="16"/>
  <c r="Y134" i="16"/>
  <c r="I135" i="16"/>
  <c r="J135" i="16"/>
  <c r="K135" i="16"/>
  <c r="L135" i="16"/>
  <c r="M135" i="16"/>
  <c r="P135" i="16"/>
  <c r="R135" i="16"/>
  <c r="S135" i="16"/>
  <c r="T135" i="16"/>
  <c r="Y135" i="16"/>
  <c r="K136" i="16"/>
  <c r="L136" i="16"/>
  <c r="M136" i="16"/>
  <c r="P136" i="16"/>
  <c r="U136" i="16"/>
  <c r="R136" i="16" s="1"/>
  <c r="I137" i="16"/>
  <c r="J137" i="16"/>
  <c r="K137" i="16"/>
  <c r="L137" i="16"/>
  <c r="M137" i="16"/>
  <c r="P137" i="16"/>
  <c r="R137" i="16"/>
  <c r="S137" i="16"/>
  <c r="T137" i="16"/>
  <c r="V137" i="16"/>
  <c r="W137" i="16"/>
  <c r="Y137" i="16"/>
  <c r="K138" i="16"/>
  <c r="L138" i="16"/>
  <c r="M138" i="16"/>
  <c r="P138" i="16"/>
  <c r="R138" i="16"/>
  <c r="S138" i="16"/>
  <c r="T138" i="16"/>
  <c r="V138" i="16"/>
  <c r="W138" i="16" s="1"/>
  <c r="Y138" i="16"/>
  <c r="K139" i="16"/>
  <c r="L139" i="16"/>
  <c r="M139" i="16"/>
  <c r="P139" i="16"/>
  <c r="R139" i="16"/>
  <c r="T139" i="16"/>
  <c r="U139" i="16"/>
  <c r="S139" i="16" s="1"/>
  <c r="V139" i="16"/>
  <c r="Y139" i="16"/>
  <c r="K140" i="16"/>
  <c r="L140" i="16"/>
  <c r="M140" i="16"/>
  <c r="P140" i="16"/>
  <c r="R140" i="16"/>
  <c r="S140" i="16"/>
  <c r="T140" i="16"/>
  <c r="V140" i="16"/>
  <c r="W140" i="16" s="1"/>
  <c r="Y140" i="16"/>
  <c r="K141" i="16"/>
  <c r="L141" i="16"/>
  <c r="M141" i="16"/>
  <c r="P141" i="16"/>
  <c r="U141" i="16"/>
  <c r="R141" i="16"/>
  <c r="V141" i="16"/>
  <c r="I142" i="16"/>
  <c r="J142" i="16"/>
  <c r="K142" i="16"/>
  <c r="L142" i="16"/>
  <c r="M142" i="16"/>
  <c r="P142" i="16"/>
  <c r="R142" i="16"/>
  <c r="S142" i="16"/>
  <c r="T142" i="16"/>
  <c r="Y142" i="16"/>
  <c r="I143" i="16"/>
  <c r="J143" i="16"/>
  <c r="K143" i="16"/>
  <c r="L143" i="16"/>
  <c r="M143" i="16"/>
  <c r="P143" i="16"/>
  <c r="R143" i="16"/>
  <c r="S143" i="16"/>
  <c r="T143" i="16"/>
  <c r="Y143" i="16"/>
  <c r="I144" i="16"/>
  <c r="J144" i="16"/>
  <c r="K144" i="16"/>
  <c r="L144" i="16"/>
  <c r="M144" i="16"/>
  <c r="P144" i="16"/>
  <c r="U144" i="16"/>
  <c r="I145" i="16"/>
  <c r="J145" i="16"/>
  <c r="K145" i="16"/>
  <c r="L145" i="16"/>
  <c r="M145" i="16"/>
  <c r="P145" i="16"/>
  <c r="R145" i="16"/>
  <c r="S145" i="16"/>
  <c r="T145" i="16"/>
  <c r="Y145" i="16"/>
  <c r="I146" i="16"/>
  <c r="J146" i="16"/>
  <c r="K146" i="16"/>
  <c r="L146" i="16"/>
  <c r="M146" i="16"/>
  <c r="P146" i="16"/>
  <c r="S146" i="16"/>
  <c r="U146" i="16"/>
  <c r="T146" i="16"/>
  <c r="I147" i="16"/>
  <c r="J147" i="16"/>
  <c r="K147" i="16"/>
  <c r="L147" i="16"/>
  <c r="M147" i="16"/>
  <c r="P147" i="16"/>
  <c r="R147" i="16"/>
  <c r="S147" i="16"/>
  <c r="T147" i="16"/>
  <c r="Y147" i="16"/>
  <c r="I148" i="16"/>
  <c r="J148" i="16"/>
  <c r="K148" i="16"/>
  <c r="L148" i="16"/>
  <c r="M148" i="16"/>
  <c r="P148" i="16"/>
  <c r="R148" i="16"/>
  <c r="T148" i="16"/>
  <c r="U148" i="16"/>
  <c r="S148" i="16"/>
  <c r="Y148" i="16"/>
  <c r="I149" i="16"/>
  <c r="J149" i="16"/>
  <c r="K149" i="16"/>
  <c r="L149" i="16"/>
  <c r="M149" i="16"/>
  <c r="P149" i="16"/>
  <c r="R149" i="16"/>
  <c r="S149" i="16"/>
  <c r="T149" i="16"/>
  <c r="Y149" i="16"/>
  <c r="I150" i="16"/>
  <c r="J150" i="16"/>
  <c r="K150" i="16"/>
  <c r="L150" i="16"/>
  <c r="M150" i="16"/>
  <c r="P150" i="16"/>
  <c r="U150" i="16"/>
  <c r="R150" i="16" s="1"/>
  <c r="I151" i="16"/>
  <c r="J151" i="16"/>
  <c r="K151" i="16"/>
  <c r="L151" i="16"/>
  <c r="M151" i="16"/>
  <c r="P151" i="16"/>
  <c r="R151" i="16"/>
  <c r="S151" i="16"/>
  <c r="T151" i="16"/>
  <c r="Y151" i="16"/>
  <c r="I152" i="16"/>
  <c r="J152" i="16"/>
  <c r="K152" i="16"/>
  <c r="L152" i="16"/>
  <c r="M152" i="16"/>
  <c r="P152" i="16"/>
  <c r="R152" i="16"/>
  <c r="S152" i="16"/>
  <c r="T152" i="16"/>
  <c r="U152" i="16"/>
  <c r="Y152" i="16"/>
  <c r="I153" i="16"/>
  <c r="J153" i="16"/>
  <c r="K153" i="16"/>
  <c r="L153" i="16"/>
  <c r="M153" i="16"/>
  <c r="P153" i="16"/>
  <c r="R153" i="16"/>
  <c r="S153" i="16"/>
  <c r="T153" i="16"/>
  <c r="Y153" i="16"/>
  <c r="I154" i="16"/>
  <c r="J154" i="16"/>
  <c r="K154" i="16"/>
  <c r="L154" i="16"/>
  <c r="M154" i="16"/>
  <c r="P154" i="16"/>
  <c r="S154" i="16"/>
  <c r="U154" i="16"/>
  <c r="T154" i="16" s="1"/>
  <c r="V154" i="16"/>
  <c r="W154" i="16"/>
  <c r="I155" i="16"/>
  <c r="J155" i="16"/>
  <c r="K155" i="16"/>
  <c r="L155" i="16"/>
  <c r="M155" i="16"/>
  <c r="P155" i="16"/>
  <c r="R155" i="16"/>
  <c r="S155" i="16"/>
  <c r="T155" i="16"/>
  <c r="V155" i="16"/>
  <c r="W155" i="16"/>
  <c r="Y155" i="16"/>
  <c r="I156" i="16"/>
  <c r="J156" i="16"/>
  <c r="K156" i="16"/>
  <c r="L156" i="16"/>
  <c r="M156" i="16"/>
  <c r="P156" i="16"/>
  <c r="R156" i="16"/>
  <c r="T156" i="16"/>
  <c r="U156" i="16"/>
  <c r="S156" i="16" s="1"/>
  <c r="V156" i="16"/>
  <c r="Y156" i="16"/>
  <c r="I157" i="16"/>
  <c r="J157" i="16"/>
  <c r="K157" i="16"/>
  <c r="L157" i="16"/>
  <c r="M157" i="16"/>
  <c r="P157" i="16"/>
  <c r="R157" i="16"/>
  <c r="S157" i="16"/>
  <c r="T157" i="16"/>
  <c r="V157" i="16"/>
  <c r="W157" i="16"/>
  <c r="Y157" i="16"/>
  <c r="I158" i="16"/>
  <c r="J158" i="16"/>
  <c r="K158" i="16"/>
  <c r="L158" i="16"/>
  <c r="M158" i="16"/>
  <c r="P158" i="16"/>
  <c r="U158" i="16"/>
  <c r="R158" i="16" s="1"/>
  <c r="V158" i="16"/>
  <c r="I159" i="16"/>
  <c r="J159" i="16"/>
  <c r="K159" i="16"/>
  <c r="L159" i="16"/>
  <c r="M159" i="16"/>
  <c r="P159" i="16"/>
  <c r="R159" i="16"/>
  <c r="S159" i="16"/>
  <c r="T159" i="16"/>
  <c r="V159" i="16"/>
  <c r="W159" i="16" s="1"/>
  <c r="Y159" i="16"/>
  <c r="I160" i="16"/>
  <c r="J160" i="16"/>
  <c r="K160" i="16"/>
  <c r="L160" i="16"/>
  <c r="M160" i="16"/>
  <c r="P160" i="16"/>
  <c r="U160" i="16"/>
  <c r="R160" i="16" s="1"/>
  <c r="V160" i="16"/>
  <c r="I161" i="16"/>
  <c r="J161" i="16"/>
  <c r="K161" i="16"/>
  <c r="L161" i="16"/>
  <c r="M161" i="16"/>
  <c r="P161" i="16"/>
  <c r="R161" i="16"/>
  <c r="S161" i="16"/>
  <c r="T161" i="16"/>
  <c r="V161" i="16"/>
  <c r="W161" i="16" s="1"/>
  <c r="Y161" i="16"/>
  <c r="I162" i="16"/>
  <c r="J162" i="16"/>
  <c r="K162" i="16"/>
  <c r="L162" i="16"/>
  <c r="M162" i="16"/>
  <c r="P162" i="16"/>
  <c r="S162" i="16"/>
  <c r="U162" i="16"/>
  <c r="T162" i="16"/>
  <c r="V162" i="16"/>
  <c r="W162" i="16" s="1"/>
  <c r="I163" i="16"/>
  <c r="J163" i="16"/>
  <c r="K163" i="16"/>
  <c r="L163" i="16"/>
  <c r="M163" i="16"/>
  <c r="P163" i="16"/>
  <c r="R163" i="16"/>
  <c r="S163" i="16"/>
  <c r="T163" i="16"/>
  <c r="V163" i="16"/>
  <c r="W163" i="16"/>
  <c r="Y163" i="16"/>
  <c r="I164" i="16"/>
  <c r="J164" i="16"/>
  <c r="K164" i="16"/>
  <c r="L164" i="16"/>
  <c r="M164" i="16"/>
  <c r="P164" i="16"/>
  <c r="R164" i="16"/>
  <c r="T164" i="16"/>
  <c r="U164" i="16"/>
  <c r="S164" i="16"/>
  <c r="Y164" i="16"/>
  <c r="I165" i="16"/>
  <c r="J165" i="16"/>
  <c r="K165" i="16"/>
  <c r="L165" i="16"/>
  <c r="M165" i="16"/>
  <c r="P165" i="16"/>
  <c r="U165" i="16"/>
  <c r="I166" i="16"/>
  <c r="J166" i="16"/>
  <c r="K166" i="16"/>
  <c r="L166" i="16"/>
  <c r="M166" i="16"/>
  <c r="P166" i="16"/>
  <c r="U166" i="16"/>
  <c r="V166" i="16"/>
  <c r="I167" i="16"/>
  <c r="J167" i="16"/>
  <c r="K167" i="16"/>
  <c r="L167" i="16"/>
  <c r="M167" i="16"/>
  <c r="P167" i="16"/>
  <c r="R167" i="16"/>
  <c r="S167" i="16"/>
  <c r="T167" i="16"/>
  <c r="Y167" i="16"/>
  <c r="I168" i="16"/>
  <c r="J168" i="16"/>
  <c r="K168" i="16"/>
  <c r="L168" i="16"/>
  <c r="M168" i="16"/>
  <c r="P168" i="16"/>
  <c r="U168" i="16"/>
  <c r="R168" i="16"/>
  <c r="V168" i="16"/>
  <c r="K169" i="16"/>
  <c r="L169" i="16"/>
  <c r="M169" i="16"/>
  <c r="P169" i="16"/>
  <c r="V169" i="16"/>
  <c r="W169" i="16"/>
  <c r="I170" i="16"/>
  <c r="J170" i="16"/>
  <c r="K170" i="16"/>
  <c r="L170" i="16"/>
  <c r="M170" i="16"/>
  <c r="P170" i="16"/>
  <c r="V170" i="16"/>
  <c r="W170" i="16"/>
  <c r="I171" i="16"/>
  <c r="J171" i="16"/>
  <c r="K171" i="16"/>
  <c r="L171" i="16"/>
  <c r="M171" i="16"/>
  <c r="P171" i="16"/>
  <c r="V171" i="16"/>
  <c r="W171" i="16"/>
  <c r="I172" i="16"/>
  <c r="J172" i="16"/>
  <c r="K172" i="16"/>
  <c r="L172" i="16"/>
  <c r="M172" i="16"/>
  <c r="P172" i="16"/>
  <c r="V172" i="16"/>
  <c r="W172" i="16"/>
  <c r="I173" i="16"/>
  <c r="J173" i="16"/>
  <c r="K173" i="16"/>
  <c r="L173" i="16"/>
  <c r="M173" i="16"/>
  <c r="P173" i="16"/>
  <c r="V173" i="16"/>
  <c r="W173" i="16"/>
  <c r="I174" i="16"/>
  <c r="J174" i="16"/>
  <c r="K174" i="16"/>
  <c r="L174" i="16"/>
  <c r="M174" i="16"/>
  <c r="P174" i="16"/>
  <c r="V174" i="16"/>
  <c r="W174" i="16"/>
  <c r="K175" i="16"/>
  <c r="L175" i="16"/>
  <c r="M175" i="16"/>
  <c r="P175" i="16"/>
  <c r="V175" i="16"/>
  <c r="W175" i="16" s="1"/>
  <c r="I176" i="16"/>
  <c r="J176" i="16"/>
  <c r="K176" i="16"/>
  <c r="L176" i="16"/>
  <c r="M176" i="16"/>
  <c r="P176" i="16"/>
  <c r="V176" i="16"/>
  <c r="W176" i="16" s="1"/>
  <c r="I177" i="16"/>
  <c r="J177" i="16"/>
  <c r="K177" i="16"/>
  <c r="L177" i="16"/>
  <c r="M177" i="16"/>
  <c r="P177" i="16"/>
  <c r="V177" i="16"/>
  <c r="W177" i="16" s="1"/>
  <c r="I178" i="16"/>
  <c r="J178" i="16"/>
  <c r="K178" i="16"/>
  <c r="L178" i="16"/>
  <c r="M178" i="16"/>
  <c r="P178" i="16"/>
  <c r="V178" i="16"/>
  <c r="W178" i="16" s="1"/>
  <c r="I179" i="16"/>
  <c r="J179" i="16"/>
  <c r="K179" i="16"/>
  <c r="L179" i="16"/>
  <c r="M179" i="16"/>
  <c r="P179" i="16"/>
  <c r="V179" i="16"/>
  <c r="W179" i="16" s="1"/>
  <c r="I180" i="16"/>
  <c r="J180" i="16"/>
  <c r="K180" i="16"/>
  <c r="L180" i="16"/>
  <c r="M180" i="16"/>
  <c r="P180" i="16"/>
  <c r="V180" i="16"/>
  <c r="W180" i="16" s="1"/>
  <c r="I181" i="16"/>
  <c r="J181" i="16"/>
  <c r="K181" i="16"/>
  <c r="L181" i="16"/>
  <c r="M181" i="16"/>
  <c r="P181" i="16"/>
  <c r="V181" i="16"/>
  <c r="W181" i="16" s="1"/>
  <c r="I182" i="16"/>
  <c r="J182" i="16"/>
  <c r="K182" i="16"/>
  <c r="L182" i="16"/>
  <c r="M182" i="16"/>
  <c r="P182" i="16"/>
  <c r="V182" i="16"/>
  <c r="W182" i="16" s="1"/>
  <c r="I183" i="16"/>
  <c r="J183" i="16"/>
  <c r="K183" i="16"/>
  <c r="L183" i="16"/>
  <c r="M183" i="16"/>
  <c r="P183" i="16"/>
  <c r="V183" i="16"/>
  <c r="W183" i="16" s="1"/>
  <c r="I184" i="16"/>
  <c r="J184" i="16"/>
  <c r="K184" i="16"/>
  <c r="L184" i="16"/>
  <c r="M184" i="16"/>
  <c r="P184" i="16"/>
  <c r="V184" i="16"/>
  <c r="W184" i="16" s="1"/>
  <c r="I185" i="16"/>
  <c r="J185" i="16"/>
  <c r="K185" i="16"/>
  <c r="L185" i="16"/>
  <c r="M185" i="16"/>
  <c r="P185" i="16"/>
  <c r="V185" i="16"/>
  <c r="W185" i="16" s="1"/>
  <c r="K186" i="16"/>
  <c r="L186" i="16"/>
  <c r="M186" i="16"/>
  <c r="P186" i="16"/>
  <c r="V186" i="16"/>
  <c r="W186" i="16"/>
  <c r="I187" i="16"/>
  <c r="J187" i="16"/>
  <c r="K187" i="16"/>
  <c r="L187" i="16"/>
  <c r="M187" i="16"/>
  <c r="P187" i="16"/>
  <c r="V187" i="16"/>
  <c r="W187" i="16"/>
  <c r="I188" i="16"/>
  <c r="J188" i="16"/>
  <c r="K188" i="16"/>
  <c r="L188" i="16"/>
  <c r="M188" i="16"/>
  <c r="P188" i="16"/>
  <c r="V188" i="16"/>
  <c r="W188" i="16"/>
  <c r="K189" i="16"/>
  <c r="L189" i="16"/>
  <c r="M189" i="16"/>
  <c r="P189" i="16"/>
  <c r="V189" i="16"/>
  <c r="W189" i="16" s="1"/>
  <c r="I190" i="16"/>
  <c r="J190" i="16"/>
  <c r="K190" i="16"/>
  <c r="L190" i="16"/>
  <c r="M190" i="16"/>
  <c r="P190" i="16"/>
  <c r="V190" i="16"/>
  <c r="W190" i="16" s="1"/>
  <c r="B2" i="15"/>
  <c r="R2" i="15"/>
  <c r="I4" i="15"/>
  <c r="J4" i="15"/>
  <c r="K4" i="15"/>
  <c r="L4" i="15"/>
  <c r="M4" i="15"/>
  <c r="P4" i="15"/>
  <c r="S4" i="15"/>
  <c r="T4" i="15"/>
  <c r="U4" i="15"/>
  <c r="R4" i="15" s="1"/>
  <c r="K5" i="15"/>
  <c r="L5" i="15"/>
  <c r="M5" i="15"/>
  <c r="P5" i="15"/>
  <c r="S5" i="15"/>
  <c r="T5" i="15"/>
  <c r="U5" i="15"/>
  <c r="R5" i="15" s="1"/>
  <c r="I6" i="15"/>
  <c r="J6" i="15"/>
  <c r="K6" i="15"/>
  <c r="L6" i="15"/>
  <c r="M6" i="15"/>
  <c r="P6" i="15"/>
  <c r="T6" i="15"/>
  <c r="U6" i="15"/>
  <c r="R6" i="15" s="1"/>
  <c r="I7" i="15"/>
  <c r="J7" i="15"/>
  <c r="K7" i="15"/>
  <c r="L7" i="15"/>
  <c r="M7" i="15"/>
  <c r="P7" i="15"/>
  <c r="R7" i="15"/>
  <c r="S7" i="15"/>
  <c r="T7" i="15"/>
  <c r="I8" i="15"/>
  <c r="J8" i="15"/>
  <c r="K8" i="15"/>
  <c r="L8" i="15"/>
  <c r="M8" i="15"/>
  <c r="P8" i="15"/>
  <c r="R8" i="15"/>
  <c r="S8" i="15"/>
  <c r="T8" i="15"/>
  <c r="I9" i="15"/>
  <c r="J9" i="15"/>
  <c r="K9" i="15"/>
  <c r="L9" i="15"/>
  <c r="M9" i="15"/>
  <c r="P9" i="15"/>
  <c r="R9" i="15"/>
  <c r="S9" i="15"/>
  <c r="T9" i="15"/>
  <c r="I10" i="15"/>
  <c r="J10" i="15"/>
  <c r="K10" i="15"/>
  <c r="L10" i="15"/>
  <c r="M10" i="15"/>
  <c r="P10" i="15"/>
  <c r="R10" i="15"/>
  <c r="S10" i="15"/>
  <c r="T10" i="15"/>
  <c r="V10" i="15"/>
  <c r="W10" i="15"/>
  <c r="I11" i="15"/>
  <c r="J11" i="15"/>
  <c r="K11" i="15"/>
  <c r="L11" i="15"/>
  <c r="M11" i="15"/>
  <c r="P11" i="15"/>
  <c r="U11" i="15"/>
  <c r="R11" i="15" s="1"/>
  <c r="I12" i="15"/>
  <c r="J12" i="15"/>
  <c r="K12" i="15"/>
  <c r="L12" i="15"/>
  <c r="M12" i="15"/>
  <c r="P12" i="15"/>
  <c r="U12" i="15"/>
  <c r="R12" i="15" s="1"/>
  <c r="V12" i="15"/>
  <c r="I13" i="15"/>
  <c r="J13" i="15"/>
  <c r="K13" i="15"/>
  <c r="L13" i="15"/>
  <c r="M13" i="15"/>
  <c r="P13" i="15"/>
  <c r="U13" i="15"/>
  <c r="V13" i="15"/>
  <c r="I14" i="15"/>
  <c r="J14" i="15"/>
  <c r="K14" i="15"/>
  <c r="L14" i="15"/>
  <c r="M14" i="15"/>
  <c r="P14" i="15"/>
  <c r="R14" i="15"/>
  <c r="U14" i="15"/>
  <c r="V14" i="15"/>
  <c r="I15" i="15"/>
  <c r="J15" i="15"/>
  <c r="K15" i="15"/>
  <c r="L15" i="15"/>
  <c r="M15" i="15"/>
  <c r="P15" i="15"/>
  <c r="R15" i="15"/>
  <c r="U15" i="15"/>
  <c r="V15" i="15"/>
  <c r="I16" i="15"/>
  <c r="J16" i="15"/>
  <c r="K16" i="15"/>
  <c r="L16" i="15"/>
  <c r="M16" i="15"/>
  <c r="P16" i="15"/>
  <c r="U16" i="15"/>
  <c r="R16" i="15" s="1"/>
  <c r="V16" i="15"/>
  <c r="I17" i="15"/>
  <c r="J17" i="15"/>
  <c r="K17" i="15"/>
  <c r="L17" i="15"/>
  <c r="M17" i="15"/>
  <c r="P17" i="15"/>
  <c r="U17" i="15"/>
  <c r="V17" i="15"/>
  <c r="I18" i="15"/>
  <c r="J18" i="15"/>
  <c r="K18" i="15"/>
  <c r="L18" i="15"/>
  <c r="M18" i="15"/>
  <c r="P18" i="15"/>
  <c r="R18" i="15"/>
  <c r="U18" i="15"/>
  <c r="I19" i="15"/>
  <c r="J19" i="15"/>
  <c r="K19" i="15"/>
  <c r="L19" i="15"/>
  <c r="M19" i="15"/>
  <c r="P19" i="15"/>
  <c r="U19" i="15"/>
  <c r="I20" i="15"/>
  <c r="J20" i="15"/>
  <c r="K20" i="15"/>
  <c r="L20" i="15"/>
  <c r="M20" i="15"/>
  <c r="P20" i="15"/>
  <c r="R20" i="15"/>
  <c r="S20" i="15"/>
  <c r="T20" i="15"/>
  <c r="U20" i="15"/>
  <c r="K21" i="15"/>
  <c r="L21" i="15"/>
  <c r="M21" i="15"/>
  <c r="P21" i="15"/>
  <c r="R21" i="15"/>
  <c r="S21" i="15"/>
  <c r="T21" i="15"/>
  <c r="K22" i="15"/>
  <c r="L22" i="15"/>
  <c r="M22" i="15"/>
  <c r="P22" i="15"/>
  <c r="U22" i="15"/>
  <c r="V22" i="15"/>
  <c r="I23" i="15"/>
  <c r="J23" i="15"/>
  <c r="K23" i="15"/>
  <c r="L23" i="15"/>
  <c r="M23" i="15"/>
  <c r="P23" i="15"/>
  <c r="T23" i="15"/>
  <c r="U23" i="15"/>
  <c r="I24" i="15"/>
  <c r="J24" i="15"/>
  <c r="K24" i="15"/>
  <c r="L24" i="15"/>
  <c r="M24" i="15"/>
  <c r="P24" i="15"/>
  <c r="R24" i="15"/>
  <c r="S24" i="15"/>
  <c r="T24" i="15"/>
  <c r="V24" i="15"/>
  <c r="W24" i="15" s="1"/>
  <c r="K25" i="15"/>
  <c r="L25" i="15"/>
  <c r="M25" i="15"/>
  <c r="P25" i="15"/>
  <c r="T25" i="15"/>
  <c r="U25" i="15"/>
  <c r="R25" i="15"/>
  <c r="V25" i="15"/>
  <c r="I26" i="15"/>
  <c r="J26" i="15"/>
  <c r="K26" i="15"/>
  <c r="L26" i="15"/>
  <c r="M26" i="15"/>
  <c r="P26" i="15"/>
  <c r="R26" i="15"/>
  <c r="S26" i="15"/>
  <c r="T26" i="15"/>
  <c r="I27" i="15"/>
  <c r="J27" i="15"/>
  <c r="K27" i="15"/>
  <c r="L27" i="15"/>
  <c r="M27" i="15"/>
  <c r="P27" i="15"/>
  <c r="R27" i="15"/>
  <c r="S27" i="15"/>
  <c r="T27" i="15"/>
  <c r="I28" i="15"/>
  <c r="J28" i="15"/>
  <c r="K28" i="15"/>
  <c r="L28" i="15"/>
  <c r="M28" i="15"/>
  <c r="P28" i="15"/>
  <c r="R28" i="15"/>
  <c r="S28" i="15"/>
  <c r="T28" i="15"/>
  <c r="V28" i="15"/>
  <c r="W28" i="15" s="1"/>
  <c r="I29" i="15"/>
  <c r="J29" i="15"/>
  <c r="K29" i="15"/>
  <c r="L29" i="15"/>
  <c r="M29" i="15"/>
  <c r="P29" i="15"/>
  <c r="R29" i="15"/>
  <c r="S29" i="15"/>
  <c r="T29" i="15"/>
  <c r="I30" i="15"/>
  <c r="J30" i="15"/>
  <c r="K30" i="15"/>
  <c r="L30" i="15"/>
  <c r="M30" i="15"/>
  <c r="P30" i="15"/>
  <c r="T30" i="15"/>
  <c r="U30" i="15"/>
  <c r="I31" i="15"/>
  <c r="J31" i="15"/>
  <c r="K31" i="15"/>
  <c r="L31" i="15"/>
  <c r="M31" i="15"/>
  <c r="P31" i="15"/>
  <c r="R31" i="15"/>
  <c r="S31" i="15"/>
  <c r="T31" i="15"/>
  <c r="I32" i="15"/>
  <c r="J32" i="15"/>
  <c r="K32" i="15"/>
  <c r="L32" i="15"/>
  <c r="M32" i="15"/>
  <c r="P32" i="15"/>
  <c r="S32" i="15"/>
  <c r="T32" i="15"/>
  <c r="U32" i="15"/>
  <c r="R32" i="15"/>
  <c r="I33" i="15"/>
  <c r="J33" i="15"/>
  <c r="K33" i="15"/>
  <c r="L33" i="15"/>
  <c r="M33" i="15"/>
  <c r="P33" i="15"/>
  <c r="R33" i="15"/>
  <c r="S33" i="15"/>
  <c r="T33" i="15"/>
  <c r="I34" i="15"/>
  <c r="J34" i="15"/>
  <c r="K34" i="15"/>
  <c r="L34" i="15"/>
  <c r="M34" i="15"/>
  <c r="P34" i="15"/>
  <c r="T34" i="15"/>
  <c r="U34" i="15"/>
  <c r="R34" i="15" s="1"/>
  <c r="I35" i="15"/>
  <c r="J35" i="15"/>
  <c r="K35" i="15"/>
  <c r="L35" i="15"/>
  <c r="M35" i="15"/>
  <c r="P35" i="15"/>
  <c r="R35" i="15"/>
  <c r="S35" i="15"/>
  <c r="T35" i="15"/>
  <c r="I36" i="15"/>
  <c r="J36" i="15"/>
  <c r="K36" i="15"/>
  <c r="L36" i="15"/>
  <c r="M36" i="15"/>
  <c r="P36" i="15"/>
  <c r="U36" i="15"/>
  <c r="R36" i="15" s="1"/>
  <c r="I37" i="15"/>
  <c r="J37" i="15"/>
  <c r="K37" i="15"/>
  <c r="L37" i="15"/>
  <c r="M37" i="15"/>
  <c r="P37" i="15"/>
  <c r="R37" i="15"/>
  <c r="S37" i="15"/>
  <c r="T37" i="15"/>
  <c r="I38" i="15"/>
  <c r="J38" i="15"/>
  <c r="K38" i="15"/>
  <c r="L38" i="15"/>
  <c r="M38" i="15"/>
  <c r="P38" i="15"/>
  <c r="S38" i="15"/>
  <c r="T38" i="15"/>
  <c r="U38" i="15"/>
  <c r="R38" i="15" s="1"/>
  <c r="I39" i="15"/>
  <c r="J39" i="15"/>
  <c r="K39" i="15"/>
  <c r="L39" i="15"/>
  <c r="M39" i="15"/>
  <c r="P39" i="15"/>
  <c r="R39" i="15"/>
  <c r="S39" i="15"/>
  <c r="T39" i="15"/>
  <c r="I40" i="15"/>
  <c r="J40" i="15"/>
  <c r="K40" i="15"/>
  <c r="L40" i="15"/>
  <c r="M40" i="15"/>
  <c r="P40" i="15"/>
  <c r="U40" i="15"/>
  <c r="I41" i="15"/>
  <c r="J41" i="15"/>
  <c r="K41" i="15"/>
  <c r="L41" i="15"/>
  <c r="M41" i="15"/>
  <c r="P41" i="15"/>
  <c r="R41" i="15"/>
  <c r="S41" i="15"/>
  <c r="T41" i="15"/>
  <c r="I42" i="15"/>
  <c r="J42" i="15"/>
  <c r="K42" i="15"/>
  <c r="L42" i="15"/>
  <c r="M42" i="15"/>
  <c r="P42" i="15"/>
  <c r="T42" i="15"/>
  <c r="U42" i="15"/>
  <c r="R42" i="15" s="1"/>
  <c r="V42" i="15"/>
  <c r="I43" i="15"/>
  <c r="J43" i="15"/>
  <c r="K43" i="15"/>
  <c r="L43" i="15"/>
  <c r="M43" i="15"/>
  <c r="P43" i="15"/>
  <c r="R43" i="15"/>
  <c r="S43" i="15"/>
  <c r="T43" i="15"/>
  <c r="V43" i="15"/>
  <c r="W43" i="15" s="1"/>
  <c r="I44" i="15"/>
  <c r="J44" i="15"/>
  <c r="K44" i="15"/>
  <c r="L44" i="15"/>
  <c r="M44" i="15"/>
  <c r="P44" i="15"/>
  <c r="U44" i="15"/>
  <c r="R44" i="15" s="1"/>
  <c r="V44" i="15"/>
  <c r="I45" i="15"/>
  <c r="J45" i="15"/>
  <c r="K45" i="15"/>
  <c r="L45" i="15"/>
  <c r="M45" i="15"/>
  <c r="P45" i="15"/>
  <c r="R45" i="15"/>
  <c r="S45" i="15"/>
  <c r="T45" i="15"/>
  <c r="V45" i="15"/>
  <c r="W45" i="15" s="1"/>
  <c r="I46" i="15"/>
  <c r="J46" i="15"/>
  <c r="K46" i="15"/>
  <c r="L46" i="15"/>
  <c r="M46" i="15"/>
  <c r="P46" i="15"/>
  <c r="U46" i="15"/>
  <c r="T46" i="15" s="1"/>
  <c r="V46" i="15"/>
  <c r="I47" i="15"/>
  <c r="J47" i="15"/>
  <c r="K47" i="15"/>
  <c r="L47" i="15"/>
  <c r="M47" i="15"/>
  <c r="P47" i="15"/>
  <c r="R47" i="15"/>
  <c r="S47" i="15"/>
  <c r="T47" i="15"/>
  <c r="V47" i="15"/>
  <c r="W47" i="15" s="1"/>
  <c r="I48" i="15"/>
  <c r="J48" i="15"/>
  <c r="K48" i="15"/>
  <c r="L48" i="15"/>
  <c r="M48" i="15"/>
  <c r="P48" i="15"/>
  <c r="S48" i="15"/>
  <c r="T48" i="15"/>
  <c r="U48" i="15"/>
  <c r="R48" i="15"/>
  <c r="V48" i="15"/>
  <c r="W48" i="15" s="1"/>
  <c r="I49" i="15"/>
  <c r="J49" i="15"/>
  <c r="K49" i="15"/>
  <c r="L49" i="15"/>
  <c r="M49" i="15"/>
  <c r="P49" i="15"/>
  <c r="R49" i="15"/>
  <c r="S49" i="15"/>
  <c r="T49" i="15"/>
  <c r="V49" i="15"/>
  <c r="W49" i="15"/>
  <c r="I50" i="15"/>
  <c r="J50" i="15"/>
  <c r="K50" i="15"/>
  <c r="L50" i="15"/>
  <c r="M50" i="15"/>
  <c r="P50" i="15"/>
  <c r="U50" i="15"/>
  <c r="V50" i="15"/>
  <c r="I51" i="15"/>
  <c r="J51" i="15"/>
  <c r="K51" i="15"/>
  <c r="L51" i="15"/>
  <c r="M51" i="15"/>
  <c r="P51" i="15"/>
  <c r="R51" i="15"/>
  <c r="S51" i="15"/>
  <c r="T51" i="15"/>
  <c r="V51" i="15"/>
  <c r="W51" i="15" s="1"/>
  <c r="I52" i="15"/>
  <c r="J52" i="15"/>
  <c r="K52" i="15"/>
  <c r="L52" i="15"/>
  <c r="M52" i="15"/>
  <c r="P52" i="15"/>
  <c r="U52" i="15"/>
  <c r="R52" i="15" s="1"/>
  <c r="I53" i="15"/>
  <c r="J53" i="15"/>
  <c r="K53" i="15"/>
  <c r="L53" i="15"/>
  <c r="M53" i="15"/>
  <c r="P53" i="15"/>
  <c r="S53" i="15"/>
  <c r="T53" i="15"/>
  <c r="U53" i="15"/>
  <c r="R53" i="15"/>
  <c r="I54" i="15"/>
  <c r="J54" i="15"/>
  <c r="K54" i="15"/>
  <c r="L54" i="15"/>
  <c r="M54" i="15"/>
  <c r="P54" i="15"/>
  <c r="U54" i="15"/>
  <c r="R54" i="15"/>
  <c r="I55" i="15"/>
  <c r="J55" i="15"/>
  <c r="K55" i="15"/>
  <c r="L55" i="15"/>
  <c r="M55" i="15"/>
  <c r="P55" i="15"/>
  <c r="U55" i="15"/>
  <c r="I56" i="15"/>
  <c r="J56" i="15"/>
  <c r="K56" i="15"/>
  <c r="L56" i="15"/>
  <c r="M56" i="15"/>
  <c r="P56" i="15"/>
  <c r="U56" i="15"/>
  <c r="R56" i="15" s="1"/>
  <c r="V56" i="15"/>
  <c r="I57" i="15"/>
  <c r="J57" i="15"/>
  <c r="K57" i="15"/>
  <c r="L57" i="15"/>
  <c r="M57" i="15"/>
  <c r="P57" i="15"/>
  <c r="U57" i="15"/>
  <c r="R57" i="15" s="1"/>
  <c r="V57" i="15"/>
  <c r="W57" i="15" s="1"/>
  <c r="I58" i="15"/>
  <c r="J58" i="15"/>
  <c r="K58" i="15"/>
  <c r="L58" i="15"/>
  <c r="M58" i="15"/>
  <c r="P58" i="15"/>
  <c r="U58" i="15"/>
  <c r="R58" i="15"/>
  <c r="V58" i="15"/>
  <c r="I59" i="15"/>
  <c r="J59" i="15"/>
  <c r="K59" i="15"/>
  <c r="L59" i="15"/>
  <c r="M59" i="15"/>
  <c r="P59" i="15"/>
  <c r="U59" i="15"/>
  <c r="V59" i="15"/>
  <c r="I60" i="15"/>
  <c r="J60" i="15"/>
  <c r="K60" i="15"/>
  <c r="L60" i="15"/>
  <c r="M60" i="15"/>
  <c r="P60" i="15"/>
  <c r="U60" i="15"/>
  <c r="R60" i="15" s="1"/>
  <c r="V60" i="15"/>
  <c r="I61" i="15"/>
  <c r="J61" i="15"/>
  <c r="K61" i="15"/>
  <c r="L61" i="15"/>
  <c r="M61" i="15"/>
  <c r="P61" i="15"/>
  <c r="U61" i="15"/>
  <c r="R61" i="15" s="1"/>
  <c r="V61" i="15"/>
  <c r="I62" i="15"/>
  <c r="J62" i="15"/>
  <c r="K62" i="15"/>
  <c r="L62" i="15"/>
  <c r="M62" i="15"/>
  <c r="P62" i="15"/>
  <c r="U62" i="15"/>
  <c r="R62" i="15"/>
  <c r="I63" i="15"/>
  <c r="J63" i="15"/>
  <c r="K63" i="15"/>
  <c r="L63" i="15"/>
  <c r="M63" i="15"/>
  <c r="P63" i="15"/>
  <c r="T63" i="15"/>
  <c r="U63" i="15"/>
  <c r="I64" i="15"/>
  <c r="J64" i="15"/>
  <c r="K64" i="15"/>
  <c r="L64" i="15"/>
  <c r="M64" i="15"/>
  <c r="P64" i="15"/>
  <c r="U64" i="15"/>
  <c r="R64" i="15" s="1"/>
  <c r="I65" i="15"/>
  <c r="J65" i="15"/>
  <c r="K65" i="15"/>
  <c r="L65" i="15"/>
  <c r="M65" i="15"/>
  <c r="P65" i="15"/>
  <c r="S65" i="15"/>
  <c r="T65" i="15"/>
  <c r="U65" i="15"/>
  <c r="R65" i="15"/>
  <c r="I66" i="15"/>
  <c r="J66" i="15"/>
  <c r="K66" i="15"/>
  <c r="L66" i="15"/>
  <c r="M66" i="15"/>
  <c r="P66" i="15"/>
  <c r="U66" i="15"/>
  <c r="R66" i="15"/>
  <c r="I67" i="15"/>
  <c r="J67" i="15"/>
  <c r="K67" i="15"/>
  <c r="L67" i="15"/>
  <c r="M67" i="15"/>
  <c r="P67" i="15"/>
  <c r="U67" i="15"/>
  <c r="T67" i="15" s="1"/>
  <c r="I68" i="15"/>
  <c r="J68" i="15"/>
  <c r="K68" i="15"/>
  <c r="L68" i="15"/>
  <c r="M68" i="15"/>
  <c r="P68" i="15"/>
  <c r="R68" i="15"/>
  <c r="S68" i="15"/>
  <c r="T68" i="15"/>
  <c r="I69" i="15"/>
  <c r="J69" i="15"/>
  <c r="K69" i="15"/>
  <c r="L69" i="15"/>
  <c r="M69" i="15"/>
  <c r="P69" i="15"/>
  <c r="T69" i="15"/>
  <c r="U69" i="15"/>
  <c r="R69" i="15"/>
  <c r="V69" i="15"/>
  <c r="I70" i="15"/>
  <c r="J70" i="15"/>
  <c r="K70" i="15"/>
  <c r="L70" i="15"/>
  <c r="M70" i="15"/>
  <c r="P70" i="15"/>
  <c r="T70" i="15"/>
  <c r="U70" i="15"/>
  <c r="R70" i="15" s="1"/>
  <c r="V70" i="15"/>
  <c r="I71" i="15"/>
  <c r="J71" i="15"/>
  <c r="K71" i="15"/>
  <c r="L71" i="15"/>
  <c r="M71" i="15"/>
  <c r="P71" i="15"/>
  <c r="T71" i="15"/>
  <c r="U71" i="15"/>
  <c r="R71" i="15"/>
  <c r="V71" i="15"/>
  <c r="I72" i="15"/>
  <c r="J72" i="15"/>
  <c r="K72" i="15"/>
  <c r="L72" i="15"/>
  <c r="M72" i="15"/>
  <c r="P72" i="15"/>
  <c r="T72" i="15"/>
  <c r="U72" i="15"/>
  <c r="R72" i="15" s="1"/>
  <c r="V72" i="15"/>
  <c r="I73" i="15"/>
  <c r="J73" i="15"/>
  <c r="K73" i="15"/>
  <c r="L73" i="15"/>
  <c r="M73" i="15"/>
  <c r="P73" i="15"/>
  <c r="T73" i="15"/>
  <c r="U73" i="15"/>
  <c r="R73" i="15"/>
  <c r="V73" i="15"/>
  <c r="W73" i="15" s="1"/>
  <c r="I74" i="15"/>
  <c r="J74" i="15"/>
  <c r="K74" i="15"/>
  <c r="L74" i="15"/>
  <c r="M74" i="15"/>
  <c r="P74" i="15"/>
  <c r="U74" i="15"/>
  <c r="V74" i="15"/>
  <c r="I75" i="15"/>
  <c r="J75" i="15"/>
  <c r="K75" i="15"/>
  <c r="L75" i="15"/>
  <c r="M75" i="15"/>
  <c r="P75" i="15"/>
  <c r="T75" i="15"/>
  <c r="U75" i="15"/>
  <c r="R75" i="15"/>
  <c r="V75" i="15"/>
  <c r="I76" i="15"/>
  <c r="J76" i="15"/>
  <c r="K76" i="15"/>
  <c r="L76" i="15"/>
  <c r="M76" i="15"/>
  <c r="P76" i="15"/>
  <c r="R76" i="15"/>
  <c r="S76" i="15"/>
  <c r="T76" i="15"/>
  <c r="V76" i="15"/>
  <c r="W76" i="15"/>
  <c r="I77" i="15"/>
  <c r="J77" i="15"/>
  <c r="K77" i="15"/>
  <c r="L77" i="15"/>
  <c r="M77" i="15"/>
  <c r="P77" i="15"/>
  <c r="U77" i="15"/>
  <c r="R77" i="15"/>
  <c r="I78" i="15"/>
  <c r="J78" i="15"/>
  <c r="K78" i="15"/>
  <c r="L78" i="15"/>
  <c r="M78" i="15"/>
  <c r="P78" i="15"/>
  <c r="T78" i="15"/>
  <c r="U78" i="15"/>
  <c r="I79" i="15"/>
  <c r="J79" i="15"/>
  <c r="K79" i="15"/>
  <c r="L79" i="15"/>
  <c r="M79" i="15"/>
  <c r="P79" i="15"/>
  <c r="U79" i="15"/>
  <c r="R79" i="15" s="1"/>
  <c r="V79" i="15"/>
  <c r="I80" i="15"/>
  <c r="J80" i="15"/>
  <c r="K80" i="15"/>
  <c r="L80" i="15"/>
  <c r="M80" i="15"/>
  <c r="P80" i="15"/>
  <c r="U80" i="15"/>
  <c r="R80" i="15" s="1"/>
  <c r="K81" i="15"/>
  <c r="L81" i="15"/>
  <c r="M81" i="15"/>
  <c r="P81" i="15"/>
  <c r="R81" i="15"/>
  <c r="S81" i="15"/>
  <c r="T81" i="15"/>
  <c r="V81" i="15"/>
  <c r="W81" i="15"/>
  <c r="I82" i="15"/>
  <c r="J82" i="15"/>
  <c r="K82" i="15"/>
  <c r="L82" i="15"/>
  <c r="M82" i="15"/>
  <c r="P82" i="15"/>
  <c r="S82" i="15"/>
  <c r="T82" i="15"/>
  <c r="U82" i="15"/>
  <c r="R82" i="15" s="1"/>
  <c r="I83" i="15"/>
  <c r="J83" i="15"/>
  <c r="K83" i="15"/>
  <c r="L83" i="15"/>
  <c r="M83" i="15"/>
  <c r="P83" i="15"/>
  <c r="R83" i="15"/>
  <c r="S83" i="15"/>
  <c r="T83" i="15"/>
  <c r="V83" i="15"/>
  <c r="W83" i="15" s="1"/>
  <c r="R84" i="15"/>
  <c r="S84" i="15"/>
  <c r="T84" i="15"/>
  <c r="V84" i="15"/>
  <c r="W84" i="15" s="1"/>
  <c r="I85" i="15"/>
  <c r="J85" i="15"/>
  <c r="K85" i="15"/>
  <c r="L85" i="15"/>
  <c r="M85" i="15"/>
  <c r="P85" i="15"/>
  <c r="R85" i="15"/>
  <c r="S85" i="15"/>
  <c r="T85" i="15"/>
  <c r="I86" i="15"/>
  <c r="J86" i="15"/>
  <c r="K86" i="15"/>
  <c r="L86" i="15"/>
  <c r="M86" i="15"/>
  <c r="P86" i="15"/>
  <c r="R86" i="15"/>
  <c r="S86" i="15"/>
  <c r="T86" i="15"/>
  <c r="V86" i="15"/>
  <c r="W86" i="15" s="1"/>
  <c r="I87" i="15"/>
  <c r="J87" i="15"/>
  <c r="K87" i="15"/>
  <c r="L87" i="15"/>
  <c r="M87" i="15"/>
  <c r="P87" i="15"/>
  <c r="R87" i="15"/>
  <c r="S87" i="15"/>
  <c r="T87" i="15"/>
  <c r="I88" i="15"/>
  <c r="J88" i="15"/>
  <c r="K88" i="15"/>
  <c r="L88" i="15"/>
  <c r="M88" i="15"/>
  <c r="P88" i="15"/>
  <c r="R88" i="15"/>
  <c r="S88" i="15"/>
  <c r="T88" i="15"/>
  <c r="I89" i="15"/>
  <c r="J89" i="15"/>
  <c r="K89" i="15"/>
  <c r="L89" i="15"/>
  <c r="M89" i="15"/>
  <c r="P89" i="15"/>
  <c r="R89" i="15"/>
  <c r="S89" i="15"/>
  <c r="T89" i="15"/>
  <c r="I90" i="15"/>
  <c r="J90" i="15"/>
  <c r="K90" i="15"/>
  <c r="L90" i="15"/>
  <c r="M90" i="15"/>
  <c r="P90" i="15"/>
  <c r="R90" i="15"/>
  <c r="S90" i="15"/>
  <c r="T90" i="15"/>
  <c r="V90" i="15"/>
  <c r="W90" i="15"/>
  <c r="I91" i="15"/>
  <c r="J91" i="15"/>
  <c r="K91" i="15"/>
  <c r="L91" i="15"/>
  <c r="M91" i="15"/>
  <c r="P91" i="15"/>
  <c r="S91" i="15"/>
  <c r="T91" i="15"/>
  <c r="U91" i="15"/>
  <c r="R91" i="15" s="1"/>
  <c r="V91" i="15"/>
  <c r="W91" i="15"/>
  <c r="I92" i="15"/>
  <c r="J92" i="15"/>
  <c r="K92" i="15"/>
  <c r="L92" i="15"/>
  <c r="M92" i="15"/>
  <c r="P92" i="15"/>
  <c r="R92" i="15"/>
  <c r="S92" i="15"/>
  <c r="T92" i="15"/>
  <c r="I93" i="15"/>
  <c r="J93" i="15"/>
  <c r="K93" i="15"/>
  <c r="L93" i="15"/>
  <c r="M93" i="15"/>
  <c r="P93" i="15"/>
  <c r="U93" i="15"/>
  <c r="R93" i="15"/>
  <c r="I94" i="15"/>
  <c r="J94" i="15"/>
  <c r="K94" i="15"/>
  <c r="L94" i="15"/>
  <c r="M94" i="15"/>
  <c r="P94" i="15"/>
  <c r="S94" i="15"/>
  <c r="T94" i="15"/>
  <c r="U94" i="15"/>
  <c r="R94" i="15" s="1"/>
  <c r="V94" i="15"/>
  <c r="W94" i="15" s="1"/>
  <c r="I95" i="15"/>
  <c r="J95" i="15"/>
  <c r="K95" i="15"/>
  <c r="L95" i="15"/>
  <c r="M95" i="15"/>
  <c r="P95" i="15"/>
  <c r="R95" i="15"/>
  <c r="S95" i="15"/>
  <c r="T95" i="15"/>
  <c r="I96" i="15"/>
  <c r="J96" i="15"/>
  <c r="K96" i="15"/>
  <c r="L96" i="15"/>
  <c r="M96" i="15"/>
  <c r="P96" i="15"/>
  <c r="U96" i="15"/>
  <c r="R96" i="15" s="1"/>
  <c r="V96" i="15"/>
  <c r="I97" i="15"/>
  <c r="J97" i="15"/>
  <c r="K97" i="15"/>
  <c r="L97" i="15"/>
  <c r="M97" i="15"/>
  <c r="P97" i="15"/>
  <c r="R97" i="15"/>
  <c r="S97" i="15"/>
  <c r="T97" i="15"/>
  <c r="I98" i="15"/>
  <c r="J98" i="15"/>
  <c r="K98" i="15"/>
  <c r="L98" i="15"/>
  <c r="M98" i="15"/>
  <c r="P98" i="15"/>
  <c r="R98" i="15"/>
  <c r="S98" i="15"/>
  <c r="T98" i="15"/>
  <c r="I99" i="15"/>
  <c r="J99" i="15"/>
  <c r="K99" i="15"/>
  <c r="L99" i="15"/>
  <c r="M99" i="15"/>
  <c r="P99" i="15"/>
  <c r="R99" i="15"/>
  <c r="S99" i="15"/>
  <c r="T99" i="15"/>
  <c r="I100" i="15"/>
  <c r="J100" i="15"/>
  <c r="K100" i="15"/>
  <c r="L100" i="15"/>
  <c r="M100" i="15"/>
  <c r="P100" i="15"/>
  <c r="S100" i="15"/>
  <c r="T100" i="15"/>
  <c r="U100" i="15"/>
  <c r="R100" i="15" s="1"/>
  <c r="I101" i="15"/>
  <c r="J101" i="15"/>
  <c r="K101" i="15"/>
  <c r="L101" i="15"/>
  <c r="M101" i="15"/>
  <c r="P101" i="15"/>
  <c r="U101" i="15"/>
  <c r="R101" i="15" s="1"/>
  <c r="V101" i="15"/>
  <c r="I102" i="15"/>
  <c r="J102" i="15"/>
  <c r="K102" i="15"/>
  <c r="L102" i="15"/>
  <c r="M102" i="15"/>
  <c r="P102" i="15"/>
  <c r="U102" i="15"/>
  <c r="R102" i="15"/>
  <c r="V102" i="15"/>
  <c r="I103" i="15"/>
  <c r="J103" i="15"/>
  <c r="K103" i="15"/>
  <c r="L103" i="15"/>
  <c r="M103" i="15"/>
  <c r="P103" i="15"/>
  <c r="U103" i="15"/>
  <c r="V103" i="15"/>
  <c r="I104" i="15"/>
  <c r="J104" i="15"/>
  <c r="K104" i="15"/>
  <c r="L104" i="15"/>
  <c r="M104" i="15"/>
  <c r="P104" i="15"/>
  <c r="U104" i="15"/>
  <c r="R104" i="15" s="1"/>
  <c r="I105" i="15"/>
  <c r="J105" i="15"/>
  <c r="K105" i="15"/>
  <c r="L105" i="15"/>
  <c r="M105" i="15"/>
  <c r="P105" i="15"/>
  <c r="S105" i="15"/>
  <c r="T105" i="15"/>
  <c r="U105" i="15"/>
  <c r="R105" i="15"/>
  <c r="V105" i="15"/>
  <c r="W105" i="15" s="1"/>
  <c r="I106" i="15"/>
  <c r="J106" i="15"/>
  <c r="K106" i="15"/>
  <c r="L106" i="15"/>
  <c r="M106" i="15"/>
  <c r="P106" i="15"/>
  <c r="S106" i="15"/>
  <c r="T106" i="15"/>
  <c r="U106" i="15"/>
  <c r="R106" i="15"/>
  <c r="V106" i="15"/>
  <c r="W106" i="15" s="1"/>
  <c r="I107" i="15"/>
  <c r="J107" i="15"/>
  <c r="K107" i="15"/>
  <c r="L107" i="15"/>
  <c r="M107" i="15"/>
  <c r="P107" i="15"/>
  <c r="S107" i="15"/>
  <c r="T107" i="15"/>
  <c r="U107" i="15"/>
  <c r="R107" i="15"/>
  <c r="V107" i="15"/>
  <c r="W107" i="15" s="1"/>
  <c r="I108" i="15"/>
  <c r="J108" i="15"/>
  <c r="K108" i="15"/>
  <c r="L108" i="15"/>
  <c r="M108" i="15"/>
  <c r="P108" i="15"/>
  <c r="S108" i="15"/>
  <c r="T108" i="15"/>
  <c r="U108" i="15"/>
  <c r="R108" i="15"/>
  <c r="V108" i="15"/>
  <c r="W108" i="15" s="1"/>
  <c r="I109" i="15"/>
  <c r="J109" i="15"/>
  <c r="K109" i="15"/>
  <c r="L109" i="15"/>
  <c r="M109" i="15"/>
  <c r="P109" i="15"/>
  <c r="S109" i="15"/>
  <c r="T109" i="15"/>
  <c r="U109" i="15"/>
  <c r="R109" i="15"/>
  <c r="V109" i="15"/>
  <c r="W109" i="15" s="1"/>
  <c r="I110" i="15"/>
  <c r="J110" i="15"/>
  <c r="K110" i="15"/>
  <c r="L110" i="15"/>
  <c r="M110" i="15"/>
  <c r="P110" i="15"/>
  <c r="S110" i="15"/>
  <c r="T110" i="15"/>
  <c r="U110" i="15"/>
  <c r="R110" i="15"/>
  <c r="I111" i="15"/>
  <c r="J111" i="15"/>
  <c r="K111" i="15"/>
  <c r="L111" i="15"/>
  <c r="M111" i="15"/>
  <c r="P111" i="15"/>
  <c r="R111" i="15"/>
  <c r="S111" i="15"/>
  <c r="T111" i="15"/>
  <c r="I112" i="15"/>
  <c r="J112" i="15"/>
  <c r="K112" i="15"/>
  <c r="L112" i="15"/>
  <c r="M112" i="15"/>
  <c r="P112" i="15"/>
  <c r="U112" i="15"/>
  <c r="R112" i="15" s="1"/>
  <c r="I113" i="15"/>
  <c r="J113" i="15"/>
  <c r="K113" i="15"/>
  <c r="L113" i="15"/>
  <c r="M113" i="15"/>
  <c r="P113" i="15"/>
  <c r="R113" i="15"/>
  <c r="S113" i="15"/>
  <c r="T113" i="15"/>
  <c r="V113" i="15"/>
  <c r="W113" i="15" s="1"/>
  <c r="I114" i="15"/>
  <c r="J114" i="15"/>
  <c r="K114" i="15"/>
  <c r="L114" i="15"/>
  <c r="M114" i="15"/>
  <c r="P114" i="15"/>
  <c r="S114" i="15"/>
  <c r="T114" i="15"/>
  <c r="U114" i="15"/>
  <c r="R114" i="15" s="1"/>
  <c r="V114" i="15"/>
  <c r="W114" i="15" s="1"/>
  <c r="I115" i="15"/>
  <c r="J115" i="15"/>
  <c r="K115" i="15"/>
  <c r="L115" i="15"/>
  <c r="M115" i="15"/>
  <c r="P115" i="15"/>
  <c r="R115" i="15"/>
  <c r="S115" i="15"/>
  <c r="T115" i="15"/>
  <c r="I116" i="15"/>
  <c r="J116" i="15"/>
  <c r="K116" i="15"/>
  <c r="L116" i="15"/>
  <c r="M116" i="15"/>
  <c r="P116" i="15"/>
  <c r="R116" i="15"/>
  <c r="U116" i="15"/>
  <c r="I117" i="15"/>
  <c r="J117" i="15"/>
  <c r="K117" i="15"/>
  <c r="L117" i="15"/>
  <c r="M117" i="15"/>
  <c r="P117" i="15"/>
  <c r="U117" i="15"/>
  <c r="T117" i="15" s="1"/>
  <c r="V117" i="15"/>
  <c r="I118" i="15"/>
  <c r="J118" i="15"/>
  <c r="K118" i="15"/>
  <c r="L118" i="15"/>
  <c r="M118" i="15"/>
  <c r="P118" i="15"/>
  <c r="T118" i="15"/>
  <c r="U118" i="15"/>
  <c r="R118" i="15" s="1"/>
  <c r="V118" i="15"/>
  <c r="I119" i="15"/>
  <c r="J119" i="15"/>
  <c r="K119" i="15"/>
  <c r="L119" i="15"/>
  <c r="M119" i="15"/>
  <c r="P119" i="15"/>
  <c r="R119" i="15"/>
  <c r="S119" i="15"/>
  <c r="T119" i="15"/>
  <c r="I120" i="15"/>
  <c r="J120" i="15"/>
  <c r="K120" i="15"/>
  <c r="L120" i="15"/>
  <c r="M120" i="15"/>
  <c r="P120" i="15"/>
  <c r="R120" i="15"/>
  <c r="S120" i="15"/>
  <c r="T120" i="15"/>
  <c r="I121" i="15"/>
  <c r="J121" i="15"/>
  <c r="K121" i="15"/>
  <c r="L121" i="15"/>
  <c r="M121" i="15"/>
  <c r="P121" i="15"/>
  <c r="R121" i="15"/>
  <c r="S121" i="15"/>
  <c r="T121" i="15"/>
  <c r="I122" i="15"/>
  <c r="J122" i="15"/>
  <c r="K122" i="15"/>
  <c r="L122" i="15"/>
  <c r="M122" i="15"/>
  <c r="P122" i="15"/>
  <c r="R122" i="15"/>
  <c r="S122" i="15"/>
  <c r="T122" i="15"/>
  <c r="I123" i="15"/>
  <c r="J123" i="15"/>
  <c r="K123" i="15"/>
  <c r="L123" i="15"/>
  <c r="M123" i="15"/>
  <c r="P123" i="15"/>
  <c r="R123" i="15"/>
  <c r="S123" i="15"/>
  <c r="T123" i="15"/>
  <c r="I124" i="15"/>
  <c r="J124" i="15"/>
  <c r="K124" i="15"/>
  <c r="L124" i="15"/>
  <c r="M124" i="15"/>
  <c r="P124" i="15"/>
  <c r="R124" i="15"/>
  <c r="S124" i="15"/>
  <c r="T124" i="15"/>
  <c r="I125" i="15"/>
  <c r="J125" i="15"/>
  <c r="K125" i="15"/>
  <c r="L125" i="15"/>
  <c r="M125" i="15"/>
  <c r="P125" i="15"/>
  <c r="R125" i="15"/>
  <c r="S125" i="15"/>
  <c r="T125" i="15"/>
  <c r="I126" i="15"/>
  <c r="J126" i="15"/>
  <c r="K126" i="15"/>
  <c r="L126" i="15"/>
  <c r="M126" i="15"/>
  <c r="P126" i="15"/>
  <c r="R126" i="15"/>
  <c r="S126" i="15"/>
  <c r="T126" i="15"/>
  <c r="V126" i="15"/>
  <c r="W126" i="15" s="1"/>
  <c r="I127" i="15"/>
  <c r="J127" i="15"/>
  <c r="K127" i="15"/>
  <c r="L127" i="15"/>
  <c r="M127" i="15"/>
  <c r="P127" i="15"/>
  <c r="R127" i="15"/>
  <c r="S127" i="15"/>
  <c r="T127" i="15"/>
  <c r="V127" i="15"/>
  <c r="W127" i="15"/>
  <c r="I128" i="15"/>
  <c r="J128" i="15"/>
  <c r="K128" i="15"/>
  <c r="L128" i="15"/>
  <c r="M128" i="15"/>
  <c r="P128" i="15"/>
  <c r="R128" i="15"/>
  <c r="S128" i="15"/>
  <c r="T128" i="15"/>
  <c r="V128" i="15"/>
  <c r="W128" i="15"/>
  <c r="I129" i="15"/>
  <c r="J129" i="15"/>
  <c r="K129" i="15"/>
  <c r="L129" i="15"/>
  <c r="M129" i="15"/>
  <c r="P129" i="15"/>
  <c r="R129" i="15"/>
  <c r="S129" i="15"/>
  <c r="T129" i="15"/>
  <c r="I130" i="15"/>
  <c r="J130" i="15"/>
  <c r="K130" i="15"/>
  <c r="L130" i="15"/>
  <c r="M130" i="15"/>
  <c r="P130" i="15"/>
  <c r="S130" i="15"/>
  <c r="T130" i="15"/>
  <c r="U130" i="15"/>
  <c r="R130" i="15" s="1"/>
  <c r="I131" i="15"/>
  <c r="J131" i="15"/>
  <c r="K131" i="15"/>
  <c r="L131" i="15"/>
  <c r="M131" i="15"/>
  <c r="P131" i="15"/>
  <c r="U131" i="15"/>
  <c r="R131" i="15" s="1"/>
  <c r="I132" i="15"/>
  <c r="J132" i="15"/>
  <c r="K132" i="15"/>
  <c r="L132" i="15"/>
  <c r="M132" i="15"/>
  <c r="P132" i="15"/>
  <c r="U132" i="15"/>
  <c r="R132" i="15"/>
  <c r="I133" i="15"/>
  <c r="J133" i="15"/>
  <c r="K133" i="15"/>
  <c r="L133" i="15"/>
  <c r="M133" i="15"/>
  <c r="P133" i="15"/>
  <c r="R133" i="15"/>
  <c r="S133" i="15"/>
  <c r="T133" i="15"/>
  <c r="I134" i="15"/>
  <c r="J134" i="15"/>
  <c r="K134" i="15"/>
  <c r="L134" i="15"/>
  <c r="M134" i="15"/>
  <c r="P134" i="15"/>
  <c r="T134" i="15"/>
  <c r="U134" i="15"/>
  <c r="R134" i="15" s="1"/>
  <c r="V134" i="15"/>
  <c r="I135" i="15"/>
  <c r="J135" i="15"/>
  <c r="K135" i="15"/>
  <c r="L135" i="15"/>
  <c r="M135" i="15"/>
  <c r="P135" i="15"/>
  <c r="R135" i="15"/>
  <c r="S135" i="15"/>
  <c r="T135" i="15"/>
  <c r="K136" i="15"/>
  <c r="L136" i="15"/>
  <c r="M136" i="15"/>
  <c r="P136" i="15"/>
  <c r="U136" i="15"/>
  <c r="R136" i="15" s="1"/>
  <c r="I137" i="15"/>
  <c r="J137" i="15"/>
  <c r="K137" i="15"/>
  <c r="L137" i="15"/>
  <c r="M137" i="15"/>
  <c r="P137" i="15"/>
  <c r="R137" i="15"/>
  <c r="S137" i="15"/>
  <c r="T137" i="15"/>
  <c r="V137" i="15"/>
  <c r="W137" i="15" s="1"/>
  <c r="K138" i="15"/>
  <c r="L138" i="15"/>
  <c r="M138" i="15"/>
  <c r="P138" i="15"/>
  <c r="R138" i="15"/>
  <c r="S138" i="15"/>
  <c r="T138" i="15"/>
  <c r="V138" i="15"/>
  <c r="W138" i="15" s="1"/>
  <c r="K139" i="15"/>
  <c r="L139" i="15"/>
  <c r="M139" i="15"/>
  <c r="P139" i="15"/>
  <c r="U139" i="15"/>
  <c r="R139" i="15"/>
  <c r="V139" i="15"/>
  <c r="K140" i="15"/>
  <c r="L140" i="15"/>
  <c r="M140" i="15"/>
  <c r="P140" i="15"/>
  <c r="R140" i="15"/>
  <c r="S140" i="15"/>
  <c r="T140" i="15"/>
  <c r="V140" i="15"/>
  <c r="W140" i="15" s="1"/>
  <c r="K141" i="15"/>
  <c r="L141" i="15"/>
  <c r="M141" i="15"/>
  <c r="P141" i="15"/>
  <c r="R141" i="15"/>
  <c r="S141" i="15"/>
  <c r="T141" i="15"/>
  <c r="U141" i="15"/>
  <c r="V141" i="15"/>
  <c r="W141" i="15"/>
  <c r="I142" i="15"/>
  <c r="J142" i="15"/>
  <c r="K142" i="15"/>
  <c r="L142" i="15"/>
  <c r="M142" i="15"/>
  <c r="P142" i="15"/>
  <c r="R142" i="15"/>
  <c r="S142" i="15"/>
  <c r="T142" i="15"/>
  <c r="I143" i="15"/>
  <c r="J143" i="15"/>
  <c r="K143" i="15"/>
  <c r="L143" i="15"/>
  <c r="M143" i="15"/>
  <c r="P143" i="15"/>
  <c r="R143" i="15"/>
  <c r="S143" i="15"/>
  <c r="T143" i="15"/>
  <c r="I144" i="15"/>
  <c r="J144" i="15"/>
  <c r="K144" i="15"/>
  <c r="L144" i="15"/>
  <c r="M144" i="15"/>
  <c r="P144" i="15"/>
  <c r="T144" i="15"/>
  <c r="U144" i="15"/>
  <c r="R144" i="15"/>
  <c r="I145" i="15"/>
  <c r="J145" i="15"/>
  <c r="K145" i="15"/>
  <c r="L145" i="15"/>
  <c r="M145" i="15"/>
  <c r="P145" i="15"/>
  <c r="R145" i="15"/>
  <c r="S145" i="15"/>
  <c r="T145" i="15"/>
  <c r="I146" i="15"/>
  <c r="J146" i="15"/>
  <c r="K146" i="15"/>
  <c r="L146" i="15"/>
  <c r="M146" i="15"/>
  <c r="P146" i="15"/>
  <c r="U146" i="15"/>
  <c r="R146" i="15"/>
  <c r="I147" i="15"/>
  <c r="J147" i="15"/>
  <c r="K147" i="15"/>
  <c r="L147" i="15"/>
  <c r="M147" i="15"/>
  <c r="P147" i="15"/>
  <c r="R147" i="15"/>
  <c r="S147" i="15"/>
  <c r="T147" i="15"/>
  <c r="I148" i="15"/>
  <c r="J148" i="15"/>
  <c r="K148" i="15"/>
  <c r="L148" i="15"/>
  <c r="M148" i="15"/>
  <c r="P148" i="15"/>
  <c r="U148" i="15"/>
  <c r="I149" i="15"/>
  <c r="J149" i="15"/>
  <c r="K149" i="15"/>
  <c r="L149" i="15"/>
  <c r="M149" i="15"/>
  <c r="P149" i="15"/>
  <c r="R149" i="15"/>
  <c r="S149" i="15"/>
  <c r="T149" i="15"/>
  <c r="I150" i="15"/>
  <c r="J150" i="15"/>
  <c r="K150" i="15"/>
  <c r="L150" i="15"/>
  <c r="M150" i="15"/>
  <c r="P150" i="15"/>
  <c r="S150" i="15"/>
  <c r="T150" i="15"/>
  <c r="U150" i="15"/>
  <c r="R150" i="15" s="1"/>
  <c r="I151" i="15"/>
  <c r="J151" i="15"/>
  <c r="K151" i="15"/>
  <c r="L151" i="15"/>
  <c r="M151" i="15"/>
  <c r="P151" i="15"/>
  <c r="R151" i="15"/>
  <c r="S151" i="15"/>
  <c r="T151" i="15"/>
  <c r="I152" i="15"/>
  <c r="J152" i="15"/>
  <c r="K152" i="15"/>
  <c r="L152" i="15"/>
  <c r="M152" i="15"/>
  <c r="P152" i="15"/>
  <c r="U152" i="15"/>
  <c r="T152" i="15" s="1"/>
  <c r="R152" i="15"/>
  <c r="I153" i="15"/>
  <c r="J153" i="15"/>
  <c r="K153" i="15"/>
  <c r="L153" i="15"/>
  <c r="M153" i="15"/>
  <c r="P153" i="15"/>
  <c r="R153" i="15"/>
  <c r="S153" i="15"/>
  <c r="T153" i="15"/>
  <c r="I154" i="15"/>
  <c r="J154" i="15"/>
  <c r="K154" i="15"/>
  <c r="L154" i="15"/>
  <c r="M154" i="15"/>
  <c r="P154" i="15"/>
  <c r="U154" i="15"/>
  <c r="R154" i="15" s="1"/>
  <c r="V154" i="15"/>
  <c r="I155" i="15"/>
  <c r="J155" i="15"/>
  <c r="K155" i="15"/>
  <c r="L155" i="15"/>
  <c r="M155" i="15"/>
  <c r="P155" i="15"/>
  <c r="R155" i="15"/>
  <c r="S155" i="15"/>
  <c r="T155" i="15"/>
  <c r="V155" i="15"/>
  <c r="W155" i="15" s="1"/>
  <c r="I156" i="15"/>
  <c r="J156" i="15"/>
  <c r="K156" i="15"/>
  <c r="L156" i="15"/>
  <c r="M156" i="15"/>
  <c r="P156" i="15"/>
  <c r="R156" i="15"/>
  <c r="U156" i="15"/>
  <c r="V156" i="15"/>
  <c r="I157" i="15"/>
  <c r="J157" i="15"/>
  <c r="K157" i="15"/>
  <c r="L157" i="15"/>
  <c r="M157" i="15"/>
  <c r="P157" i="15"/>
  <c r="R157" i="15"/>
  <c r="S157" i="15"/>
  <c r="T157" i="15"/>
  <c r="V157" i="15"/>
  <c r="W157" i="15" s="1"/>
  <c r="I158" i="15"/>
  <c r="J158" i="15"/>
  <c r="K158" i="15"/>
  <c r="L158" i="15"/>
  <c r="M158" i="15"/>
  <c r="P158" i="15"/>
  <c r="U158" i="15"/>
  <c r="R158" i="15" s="1"/>
  <c r="V158" i="15"/>
  <c r="I159" i="15"/>
  <c r="J159" i="15"/>
  <c r="K159" i="15"/>
  <c r="L159" i="15"/>
  <c r="M159" i="15"/>
  <c r="P159" i="15"/>
  <c r="R159" i="15"/>
  <c r="S159" i="15"/>
  <c r="T159" i="15"/>
  <c r="V159" i="15"/>
  <c r="W159" i="15"/>
  <c r="I160" i="15"/>
  <c r="J160" i="15"/>
  <c r="K160" i="15"/>
  <c r="L160" i="15"/>
  <c r="M160" i="15"/>
  <c r="P160" i="15"/>
  <c r="U160" i="15"/>
  <c r="T160" i="15" s="1"/>
  <c r="R160" i="15"/>
  <c r="V160" i="15"/>
  <c r="I161" i="15"/>
  <c r="J161" i="15"/>
  <c r="K161" i="15"/>
  <c r="L161" i="15"/>
  <c r="M161" i="15"/>
  <c r="P161" i="15"/>
  <c r="R161" i="15"/>
  <c r="S161" i="15"/>
  <c r="T161" i="15"/>
  <c r="V161" i="15"/>
  <c r="W161" i="15"/>
  <c r="I162" i="15"/>
  <c r="J162" i="15"/>
  <c r="K162" i="15"/>
  <c r="L162" i="15"/>
  <c r="M162" i="15"/>
  <c r="P162" i="15"/>
  <c r="U162" i="15"/>
  <c r="R162" i="15"/>
  <c r="V162" i="15"/>
  <c r="I163" i="15"/>
  <c r="J163" i="15"/>
  <c r="K163" i="15"/>
  <c r="L163" i="15"/>
  <c r="M163" i="15"/>
  <c r="P163" i="15"/>
  <c r="R163" i="15"/>
  <c r="S163" i="15"/>
  <c r="T163" i="15"/>
  <c r="V163" i="15"/>
  <c r="W163" i="15"/>
  <c r="I164" i="15"/>
  <c r="J164" i="15"/>
  <c r="K164" i="15"/>
  <c r="L164" i="15"/>
  <c r="M164" i="15"/>
  <c r="P164" i="15"/>
  <c r="R164" i="15"/>
  <c r="S164" i="15"/>
  <c r="T164" i="15"/>
  <c r="U164" i="15"/>
  <c r="I165" i="15"/>
  <c r="J165" i="15"/>
  <c r="K165" i="15"/>
  <c r="L165" i="15"/>
  <c r="M165" i="15"/>
  <c r="P165" i="15"/>
  <c r="T165" i="15"/>
  <c r="U165" i="15"/>
  <c r="R165" i="15"/>
  <c r="I166" i="15"/>
  <c r="J166" i="15"/>
  <c r="K166" i="15"/>
  <c r="L166" i="15"/>
  <c r="M166" i="15"/>
  <c r="P166" i="15"/>
  <c r="U166" i="15"/>
  <c r="V166" i="15"/>
  <c r="I167" i="15"/>
  <c r="J167" i="15"/>
  <c r="K167" i="15"/>
  <c r="L167" i="15"/>
  <c r="M167" i="15"/>
  <c r="P167" i="15"/>
  <c r="R167" i="15"/>
  <c r="S167" i="15"/>
  <c r="T167" i="15"/>
  <c r="I168" i="15"/>
  <c r="J168" i="15"/>
  <c r="K168" i="15"/>
  <c r="L168" i="15"/>
  <c r="M168" i="15"/>
  <c r="P168" i="15"/>
  <c r="U168" i="15"/>
  <c r="R168" i="15"/>
  <c r="V168" i="15"/>
  <c r="W168" i="15" s="1"/>
  <c r="K169" i="15"/>
  <c r="L169" i="15"/>
  <c r="M169" i="15"/>
  <c r="P169" i="15"/>
  <c r="V169" i="15"/>
  <c r="W169" i="15"/>
  <c r="I170" i="15"/>
  <c r="J170" i="15"/>
  <c r="K170" i="15"/>
  <c r="L170" i="15"/>
  <c r="M170" i="15"/>
  <c r="P170" i="15"/>
  <c r="V170" i="15"/>
  <c r="W170" i="15"/>
  <c r="I171" i="15"/>
  <c r="J171" i="15"/>
  <c r="K171" i="15"/>
  <c r="L171" i="15"/>
  <c r="M171" i="15"/>
  <c r="P171" i="15"/>
  <c r="V171" i="15"/>
  <c r="W171" i="15"/>
  <c r="I172" i="15"/>
  <c r="J172" i="15"/>
  <c r="K172" i="15"/>
  <c r="L172" i="15"/>
  <c r="M172" i="15"/>
  <c r="P172" i="15"/>
  <c r="V172" i="15"/>
  <c r="W172" i="15"/>
  <c r="I173" i="15"/>
  <c r="J173" i="15"/>
  <c r="K173" i="15"/>
  <c r="L173" i="15"/>
  <c r="M173" i="15"/>
  <c r="P173" i="15"/>
  <c r="V173" i="15"/>
  <c r="W173" i="15"/>
  <c r="I174" i="15"/>
  <c r="J174" i="15"/>
  <c r="K174" i="15"/>
  <c r="L174" i="15"/>
  <c r="M174" i="15"/>
  <c r="P174" i="15"/>
  <c r="V174" i="15"/>
  <c r="W174" i="15"/>
  <c r="K175" i="15"/>
  <c r="L175" i="15"/>
  <c r="M175" i="15"/>
  <c r="P175" i="15"/>
  <c r="V175" i="15"/>
  <c r="W175" i="15"/>
  <c r="I176" i="15"/>
  <c r="J176" i="15"/>
  <c r="K176" i="15"/>
  <c r="L176" i="15"/>
  <c r="M176" i="15"/>
  <c r="P176" i="15"/>
  <c r="V176" i="15"/>
  <c r="W176" i="15"/>
  <c r="I177" i="15"/>
  <c r="J177" i="15"/>
  <c r="K177" i="15"/>
  <c r="L177" i="15"/>
  <c r="M177" i="15"/>
  <c r="P177" i="15"/>
  <c r="V177" i="15"/>
  <c r="W177" i="15"/>
  <c r="I178" i="15"/>
  <c r="J178" i="15"/>
  <c r="K178" i="15"/>
  <c r="L178" i="15"/>
  <c r="M178" i="15"/>
  <c r="P178" i="15"/>
  <c r="V178" i="15"/>
  <c r="W178" i="15"/>
  <c r="I179" i="15"/>
  <c r="J179" i="15"/>
  <c r="K179" i="15"/>
  <c r="L179" i="15"/>
  <c r="M179" i="15"/>
  <c r="P179" i="15"/>
  <c r="V179" i="15"/>
  <c r="W179" i="15"/>
  <c r="I180" i="15"/>
  <c r="J180" i="15"/>
  <c r="K180" i="15"/>
  <c r="L180" i="15"/>
  <c r="M180" i="15"/>
  <c r="P180" i="15"/>
  <c r="V180" i="15"/>
  <c r="W180" i="15"/>
  <c r="I181" i="15"/>
  <c r="J181" i="15"/>
  <c r="K181" i="15"/>
  <c r="L181" i="15"/>
  <c r="M181" i="15"/>
  <c r="P181" i="15"/>
  <c r="V181" i="15"/>
  <c r="W181" i="15"/>
  <c r="I182" i="15"/>
  <c r="J182" i="15"/>
  <c r="K182" i="15"/>
  <c r="L182" i="15"/>
  <c r="M182" i="15"/>
  <c r="P182" i="15"/>
  <c r="V182" i="15"/>
  <c r="W182" i="15"/>
  <c r="I183" i="15"/>
  <c r="J183" i="15"/>
  <c r="K183" i="15"/>
  <c r="L183" i="15"/>
  <c r="M183" i="15"/>
  <c r="P183" i="15"/>
  <c r="V183" i="15"/>
  <c r="W183" i="15"/>
  <c r="I184" i="15"/>
  <c r="J184" i="15"/>
  <c r="K184" i="15"/>
  <c r="L184" i="15"/>
  <c r="M184" i="15"/>
  <c r="P184" i="15"/>
  <c r="V184" i="15"/>
  <c r="W184" i="15"/>
  <c r="I185" i="15"/>
  <c r="J185" i="15"/>
  <c r="K185" i="15"/>
  <c r="L185" i="15"/>
  <c r="M185" i="15"/>
  <c r="P185" i="15"/>
  <c r="V185" i="15"/>
  <c r="W185" i="15"/>
  <c r="K186" i="15"/>
  <c r="L186" i="15"/>
  <c r="M186" i="15"/>
  <c r="P186" i="15"/>
  <c r="V186" i="15"/>
  <c r="W186" i="15"/>
  <c r="I187" i="15"/>
  <c r="J187" i="15"/>
  <c r="K187" i="15"/>
  <c r="L187" i="15"/>
  <c r="M187" i="15"/>
  <c r="P187" i="15"/>
  <c r="V187" i="15"/>
  <c r="W187" i="15"/>
  <c r="I188" i="15"/>
  <c r="J188" i="15"/>
  <c r="K188" i="15"/>
  <c r="L188" i="15"/>
  <c r="M188" i="15"/>
  <c r="P188" i="15"/>
  <c r="V188" i="15"/>
  <c r="W188" i="15"/>
  <c r="K189" i="15"/>
  <c r="L189" i="15"/>
  <c r="M189" i="15"/>
  <c r="P189" i="15"/>
  <c r="V189" i="15"/>
  <c r="W189" i="15"/>
  <c r="I190" i="15"/>
  <c r="J190" i="15"/>
  <c r="K190" i="15"/>
  <c r="L190" i="15"/>
  <c r="M190" i="15"/>
  <c r="P190" i="15"/>
  <c r="V190" i="15"/>
  <c r="W190" i="15"/>
  <c r="B2" i="13"/>
  <c r="R2" i="13"/>
  <c r="I4" i="13"/>
  <c r="J4" i="13"/>
  <c r="K4" i="13"/>
  <c r="L4" i="13"/>
  <c r="M4" i="13"/>
  <c r="P4" i="13"/>
  <c r="U4" i="13"/>
  <c r="R4" i="13" s="1"/>
  <c r="K5" i="13"/>
  <c r="L5" i="13"/>
  <c r="M5" i="13"/>
  <c r="P5" i="13"/>
  <c r="S5" i="13"/>
  <c r="T5" i="13"/>
  <c r="U5" i="13"/>
  <c r="R5" i="13" s="1"/>
  <c r="I6" i="13"/>
  <c r="J6" i="13"/>
  <c r="K6" i="13"/>
  <c r="L6" i="13"/>
  <c r="M6" i="13"/>
  <c r="P6" i="13"/>
  <c r="U6" i="13"/>
  <c r="R6" i="13" s="1"/>
  <c r="I7" i="13"/>
  <c r="J7" i="13"/>
  <c r="K7" i="13"/>
  <c r="L7" i="13"/>
  <c r="M7" i="13"/>
  <c r="P7" i="13"/>
  <c r="U7" i="13"/>
  <c r="T7" i="13" s="1"/>
  <c r="I8" i="13"/>
  <c r="J8" i="13"/>
  <c r="K8" i="13"/>
  <c r="L8" i="13"/>
  <c r="M8" i="13"/>
  <c r="P8" i="13"/>
  <c r="U8" i="13"/>
  <c r="R8" i="13"/>
  <c r="I9" i="13"/>
  <c r="J9" i="13"/>
  <c r="K9" i="13"/>
  <c r="L9" i="13"/>
  <c r="M9" i="13"/>
  <c r="P9" i="13"/>
  <c r="U9" i="13"/>
  <c r="I10" i="13"/>
  <c r="J10" i="13"/>
  <c r="K10" i="13"/>
  <c r="L10" i="13"/>
  <c r="M10" i="13"/>
  <c r="P10" i="13"/>
  <c r="U10" i="13"/>
  <c r="R10" i="13"/>
  <c r="I11" i="13"/>
  <c r="J11" i="13"/>
  <c r="K11" i="13"/>
  <c r="L11" i="13"/>
  <c r="M11" i="13"/>
  <c r="P11" i="13"/>
  <c r="R11" i="13"/>
  <c r="S11" i="13"/>
  <c r="U11" i="13"/>
  <c r="T11" i="13" s="1"/>
  <c r="I12" i="13"/>
  <c r="J12" i="13"/>
  <c r="K12" i="13"/>
  <c r="L12" i="13"/>
  <c r="M12" i="13"/>
  <c r="P12" i="13"/>
  <c r="U12" i="13"/>
  <c r="R12" i="13"/>
  <c r="V12" i="13"/>
  <c r="I13" i="13"/>
  <c r="J13" i="13"/>
  <c r="K13" i="13"/>
  <c r="L13" i="13"/>
  <c r="M13" i="13"/>
  <c r="P13" i="13"/>
  <c r="U13" i="13"/>
  <c r="R13" i="13" s="1"/>
  <c r="V13" i="13"/>
  <c r="I14" i="13"/>
  <c r="J14" i="13"/>
  <c r="K14" i="13"/>
  <c r="L14" i="13"/>
  <c r="M14" i="13"/>
  <c r="P14" i="13"/>
  <c r="U14" i="13"/>
  <c r="R14" i="13"/>
  <c r="I15" i="13"/>
  <c r="J15" i="13"/>
  <c r="K15" i="13"/>
  <c r="L15" i="13"/>
  <c r="M15" i="13"/>
  <c r="P15" i="13"/>
  <c r="S15" i="13"/>
  <c r="T15" i="13"/>
  <c r="U15" i="13"/>
  <c r="R15" i="13" s="1"/>
  <c r="I16" i="13"/>
  <c r="J16" i="13"/>
  <c r="K16" i="13"/>
  <c r="L16" i="13"/>
  <c r="M16" i="13"/>
  <c r="P16" i="13"/>
  <c r="U16" i="13"/>
  <c r="I17" i="13"/>
  <c r="J17" i="13"/>
  <c r="K17" i="13"/>
  <c r="L17" i="13"/>
  <c r="M17" i="13"/>
  <c r="P17" i="13"/>
  <c r="R17" i="13"/>
  <c r="U17" i="13"/>
  <c r="S17" i="13" s="1"/>
  <c r="V17" i="13"/>
  <c r="I18" i="13"/>
  <c r="J18" i="13"/>
  <c r="K18" i="13"/>
  <c r="L18" i="13"/>
  <c r="M18" i="13"/>
  <c r="P18" i="13"/>
  <c r="R18" i="13"/>
  <c r="U18" i="13"/>
  <c r="S18" i="13" s="1"/>
  <c r="V18" i="13"/>
  <c r="I19" i="13"/>
  <c r="J19" i="13"/>
  <c r="K19" i="13"/>
  <c r="L19" i="13"/>
  <c r="M19" i="13"/>
  <c r="P19" i="13"/>
  <c r="R19" i="13"/>
  <c r="U19" i="13"/>
  <c r="S19" i="13" s="1"/>
  <c r="V19" i="13"/>
  <c r="I20" i="13"/>
  <c r="J20" i="13"/>
  <c r="K20" i="13"/>
  <c r="L20" i="13"/>
  <c r="M20" i="13"/>
  <c r="P20" i="13"/>
  <c r="R20" i="13"/>
  <c r="U20" i="13"/>
  <c r="S20" i="13" s="1"/>
  <c r="V20" i="13"/>
  <c r="I21" i="13"/>
  <c r="J21" i="13"/>
  <c r="K21" i="13"/>
  <c r="L21" i="13"/>
  <c r="M21" i="13"/>
  <c r="P21" i="13"/>
  <c r="R21" i="13"/>
  <c r="U21" i="13"/>
  <c r="S21" i="13" s="1"/>
  <c r="V21" i="13"/>
  <c r="I22" i="13"/>
  <c r="J22" i="13"/>
  <c r="K22" i="13"/>
  <c r="L22" i="13"/>
  <c r="M22" i="13"/>
  <c r="P22" i="13"/>
  <c r="R22" i="13"/>
  <c r="U22" i="13"/>
  <c r="S22" i="13" s="1"/>
  <c r="V22" i="13"/>
  <c r="I23" i="13"/>
  <c r="J23" i="13"/>
  <c r="K23" i="13"/>
  <c r="L23" i="13"/>
  <c r="M23" i="13"/>
  <c r="P23" i="13"/>
  <c r="R23" i="13"/>
  <c r="U23" i="13"/>
  <c r="S23" i="13" s="1"/>
  <c r="V23" i="13"/>
  <c r="I24" i="13"/>
  <c r="J24" i="13"/>
  <c r="K24" i="13"/>
  <c r="L24" i="13"/>
  <c r="M24" i="13"/>
  <c r="P24" i="13"/>
  <c r="R24" i="13"/>
  <c r="U24" i="13"/>
  <c r="S24" i="13" s="1"/>
  <c r="V24" i="13"/>
  <c r="I25" i="13"/>
  <c r="J25" i="13"/>
  <c r="K25" i="13"/>
  <c r="L25" i="13"/>
  <c r="M25" i="13"/>
  <c r="P25" i="13"/>
  <c r="R25" i="13"/>
  <c r="U25" i="13"/>
  <c r="S25" i="13" s="1"/>
  <c r="V25" i="13"/>
  <c r="I26" i="13"/>
  <c r="J26" i="13"/>
  <c r="K26" i="13"/>
  <c r="L26" i="13"/>
  <c r="M26" i="13"/>
  <c r="P26" i="13"/>
  <c r="R26" i="13"/>
  <c r="U26" i="13"/>
  <c r="S26" i="13" s="1"/>
  <c r="V26" i="13"/>
  <c r="I27" i="13"/>
  <c r="J27" i="13"/>
  <c r="K27" i="13"/>
  <c r="L27" i="13"/>
  <c r="M27" i="13"/>
  <c r="P27" i="13"/>
  <c r="R27" i="13"/>
  <c r="U27" i="13"/>
  <c r="S27" i="13" s="1"/>
  <c r="V27" i="13"/>
  <c r="I28" i="13"/>
  <c r="J28" i="13"/>
  <c r="K28" i="13"/>
  <c r="L28" i="13"/>
  <c r="M28" i="13"/>
  <c r="P28" i="13"/>
  <c r="R28" i="13"/>
  <c r="U28" i="13"/>
  <c r="S28" i="13" s="1"/>
  <c r="V28" i="13"/>
  <c r="I29" i="13"/>
  <c r="J29" i="13"/>
  <c r="K29" i="13"/>
  <c r="L29" i="13"/>
  <c r="M29" i="13"/>
  <c r="P29" i="13"/>
  <c r="R29" i="13"/>
  <c r="U29" i="13"/>
  <c r="S29" i="13" s="1"/>
  <c r="V29" i="13"/>
  <c r="I30" i="13"/>
  <c r="J30" i="13"/>
  <c r="K30" i="13"/>
  <c r="L30" i="13"/>
  <c r="M30" i="13"/>
  <c r="P30" i="13"/>
  <c r="R30" i="13"/>
  <c r="U30" i="13"/>
  <c r="S30" i="13" s="1"/>
  <c r="V30" i="13"/>
  <c r="I31" i="13"/>
  <c r="J31" i="13"/>
  <c r="K31" i="13"/>
  <c r="L31" i="13"/>
  <c r="M31" i="13"/>
  <c r="P31" i="13"/>
  <c r="R31" i="13"/>
  <c r="U31" i="13"/>
  <c r="S31" i="13" s="1"/>
  <c r="V31" i="13"/>
  <c r="I32" i="13"/>
  <c r="J32" i="13"/>
  <c r="K32" i="13"/>
  <c r="L32" i="13"/>
  <c r="M32" i="13"/>
  <c r="P32" i="13"/>
  <c r="R32" i="13"/>
  <c r="U32" i="13"/>
  <c r="S32" i="13" s="1"/>
  <c r="V32" i="13"/>
  <c r="I33" i="13"/>
  <c r="J33" i="13"/>
  <c r="K33" i="13"/>
  <c r="L33" i="13"/>
  <c r="M33" i="13"/>
  <c r="P33" i="13"/>
  <c r="R33" i="13"/>
  <c r="U33" i="13"/>
  <c r="S33" i="13" s="1"/>
  <c r="V33" i="13"/>
  <c r="I34" i="13"/>
  <c r="J34" i="13"/>
  <c r="K34" i="13"/>
  <c r="L34" i="13"/>
  <c r="M34" i="13"/>
  <c r="P34" i="13"/>
  <c r="R34" i="13"/>
  <c r="U34" i="13"/>
  <c r="S34" i="13" s="1"/>
  <c r="V34" i="13"/>
  <c r="I35" i="13"/>
  <c r="J35" i="13"/>
  <c r="K35" i="13"/>
  <c r="L35" i="13"/>
  <c r="M35" i="13"/>
  <c r="P35" i="13"/>
  <c r="R35" i="13"/>
  <c r="U35" i="13"/>
  <c r="S35" i="13" s="1"/>
  <c r="I36" i="13"/>
  <c r="J36" i="13"/>
  <c r="K36" i="13"/>
  <c r="L36" i="13"/>
  <c r="M36" i="13"/>
  <c r="P36" i="13"/>
  <c r="U36" i="13"/>
  <c r="R36" i="13"/>
  <c r="I37" i="13"/>
  <c r="J37" i="13"/>
  <c r="K37" i="13"/>
  <c r="L37" i="13"/>
  <c r="M37" i="13"/>
  <c r="P37" i="13"/>
  <c r="S37" i="13"/>
  <c r="T37" i="13"/>
  <c r="U37" i="13"/>
  <c r="R37" i="13" s="1"/>
  <c r="K38" i="13"/>
  <c r="L38" i="13"/>
  <c r="M38" i="13"/>
  <c r="P38" i="13"/>
  <c r="S38" i="13"/>
  <c r="T38" i="13"/>
  <c r="U38" i="13"/>
  <c r="R38" i="13" s="1"/>
  <c r="K39" i="13"/>
  <c r="L39" i="13"/>
  <c r="M39" i="13"/>
  <c r="P39" i="13"/>
  <c r="S39" i="13"/>
  <c r="T39" i="13"/>
  <c r="U39" i="13"/>
  <c r="R39" i="13" s="1"/>
  <c r="K40" i="13"/>
  <c r="L40" i="13"/>
  <c r="M40" i="13"/>
  <c r="P40" i="13"/>
  <c r="S40" i="13"/>
  <c r="T40" i="13"/>
  <c r="U40" i="13"/>
  <c r="R40" i="13" s="1"/>
  <c r="K41" i="13"/>
  <c r="L41" i="13"/>
  <c r="M41" i="13"/>
  <c r="P41" i="13"/>
  <c r="S41" i="13"/>
  <c r="T41" i="13"/>
  <c r="U41" i="13"/>
  <c r="R41" i="13" s="1"/>
  <c r="K42" i="13"/>
  <c r="L42" i="13"/>
  <c r="M42" i="13"/>
  <c r="P42" i="13"/>
  <c r="S42" i="13"/>
  <c r="T42" i="13"/>
  <c r="U42" i="13"/>
  <c r="R42" i="13" s="1"/>
  <c r="V42" i="13"/>
  <c r="W42" i="13"/>
  <c r="I43" i="13"/>
  <c r="J43" i="13"/>
  <c r="K43" i="13"/>
  <c r="L43" i="13"/>
  <c r="M43" i="13"/>
  <c r="P43" i="13"/>
  <c r="S43" i="13"/>
  <c r="T43" i="13"/>
  <c r="U43" i="13"/>
  <c r="R43" i="13" s="1"/>
  <c r="I44" i="13"/>
  <c r="J44" i="13"/>
  <c r="K44" i="13"/>
  <c r="L44" i="13"/>
  <c r="M44" i="13"/>
  <c r="P44" i="13"/>
  <c r="U44" i="13"/>
  <c r="I45" i="13"/>
  <c r="J45" i="13"/>
  <c r="K45" i="13"/>
  <c r="L45" i="13"/>
  <c r="M45" i="13"/>
  <c r="P45" i="13"/>
  <c r="R45" i="13"/>
  <c r="U45" i="13"/>
  <c r="S45" i="13" s="1"/>
  <c r="I46" i="13"/>
  <c r="J46" i="13"/>
  <c r="K46" i="13"/>
  <c r="L46" i="13"/>
  <c r="M46" i="13"/>
  <c r="P46" i="13"/>
  <c r="U46" i="13"/>
  <c r="R46" i="13"/>
  <c r="K47" i="13"/>
  <c r="L47" i="13"/>
  <c r="M47" i="13"/>
  <c r="P47" i="13"/>
  <c r="U47" i="13"/>
  <c r="K48" i="13"/>
  <c r="L48" i="13"/>
  <c r="M48" i="13"/>
  <c r="P48" i="13"/>
  <c r="U48" i="13"/>
  <c r="R48" i="13"/>
  <c r="K49" i="13"/>
  <c r="L49" i="13"/>
  <c r="M49" i="13"/>
  <c r="P49" i="13"/>
  <c r="U49" i="13"/>
  <c r="K50" i="13"/>
  <c r="L50" i="13"/>
  <c r="M50" i="13"/>
  <c r="P50" i="13"/>
  <c r="U50" i="13"/>
  <c r="R50" i="13"/>
  <c r="I51" i="13"/>
  <c r="J51" i="13"/>
  <c r="K51" i="13"/>
  <c r="L51" i="13"/>
  <c r="M51" i="13"/>
  <c r="P51" i="13"/>
  <c r="S51" i="13"/>
  <c r="T51" i="13"/>
  <c r="U51" i="13"/>
  <c r="R51" i="13" s="1"/>
  <c r="V51" i="13"/>
  <c r="W51" i="13"/>
  <c r="I52" i="13"/>
  <c r="J52" i="13"/>
  <c r="K52" i="13"/>
  <c r="L52" i="13"/>
  <c r="M52" i="13"/>
  <c r="P52" i="13"/>
  <c r="S52" i="13"/>
  <c r="T52" i="13"/>
  <c r="U52" i="13"/>
  <c r="R52" i="13" s="1"/>
  <c r="V52" i="13"/>
  <c r="W52" i="13"/>
  <c r="I53" i="13"/>
  <c r="J53" i="13"/>
  <c r="K53" i="13"/>
  <c r="L53" i="13"/>
  <c r="M53" i="13"/>
  <c r="P53" i="13"/>
  <c r="S53" i="13"/>
  <c r="T53" i="13"/>
  <c r="U53" i="13"/>
  <c r="R53" i="13" s="1"/>
  <c r="V53" i="13"/>
  <c r="W53" i="13"/>
  <c r="I54" i="13"/>
  <c r="J54" i="13"/>
  <c r="K54" i="13"/>
  <c r="L54" i="13"/>
  <c r="M54" i="13"/>
  <c r="P54" i="13"/>
  <c r="S54" i="13"/>
  <c r="T54" i="13"/>
  <c r="U54" i="13"/>
  <c r="R54" i="13" s="1"/>
  <c r="V54" i="13"/>
  <c r="W54" i="13"/>
  <c r="K55" i="13"/>
  <c r="L55" i="13"/>
  <c r="M55" i="13"/>
  <c r="P55" i="13"/>
  <c r="U55" i="13"/>
  <c r="V55" i="13"/>
  <c r="I56" i="13"/>
  <c r="J56" i="13"/>
  <c r="K56" i="13"/>
  <c r="L56" i="13"/>
  <c r="M56" i="13"/>
  <c r="P56" i="13"/>
  <c r="U56" i="13"/>
  <c r="R56" i="13" s="1"/>
  <c r="I57" i="13"/>
  <c r="J57" i="13"/>
  <c r="K57" i="13"/>
  <c r="L57" i="13"/>
  <c r="M57" i="13"/>
  <c r="P57" i="13"/>
  <c r="U57" i="13"/>
  <c r="I58" i="13"/>
  <c r="J58" i="13"/>
  <c r="K58" i="13"/>
  <c r="L58" i="13"/>
  <c r="M58" i="13"/>
  <c r="P58" i="13"/>
  <c r="U58" i="13"/>
  <c r="W58" i="13" s="1"/>
  <c r="R58" i="13"/>
  <c r="V58" i="13"/>
  <c r="I59" i="13"/>
  <c r="J59" i="13"/>
  <c r="K59" i="13"/>
  <c r="L59" i="13"/>
  <c r="M59" i="13"/>
  <c r="P59" i="13"/>
  <c r="U59" i="13"/>
  <c r="I60" i="13"/>
  <c r="J60" i="13"/>
  <c r="K60" i="13"/>
  <c r="L60" i="13"/>
  <c r="M60" i="13"/>
  <c r="P60" i="13"/>
  <c r="R60" i="13"/>
  <c r="U60" i="13"/>
  <c r="S60" i="13" s="1"/>
  <c r="I61" i="13"/>
  <c r="J61" i="13"/>
  <c r="K61" i="13"/>
  <c r="L61" i="13"/>
  <c r="M61" i="13"/>
  <c r="P61" i="13"/>
  <c r="U61" i="13"/>
  <c r="R61" i="13"/>
  <c r="I62" i="13"/>
  <c r="J62" i="13"/>
  <c r="K62" i="13"/>
  <c r="L62" i="13"/>
  <c r="M62" i="13"/>
  <c r="P62" i="13"/>
  <c r="S62" i="13"/>
  <c r="T62" i="13"/>
  <c r="U62" i="13"/>
  <c r="R62" i="13" s="1"/>
  <c r="I63" i="13"/>
  <c r="J63" i="13"/>
  <c r="K63" i="13"/>
  <c r="L63" i="13"/>
  <c r="M63" i="13"/>
  <c r="P63" i="13"/>
  <c r="U63" i="13"/>
  <c r="I64" i="13"/>
  <c r="J64" i="13"/>
  <c r="K64" i="13"/>
  <c r="L64" i="13"/>
  <c r="M64" i="13"/>
  <c r="P64" i="13"/>
  <c r="R64" i="13"/>
  <c r="U64" i="13"/>
  <c r="S64" i="13" s="1"/>
  <c r="I65" i="13"/>
  <c r="J65" i="13"/>
  <c r="K65" i="13"/>
  <c r="L65" i="13"/>
  <c r="M65" i="13"/>
  <c r="P65" i="13"/>
  <c r="U65" i="13"/>
  <c r="R65" i="13"/>
  <c r="I66" i="13"/>
  <c r="J66" i="13"/>
  <c r="K66" i="13"/>
  <c r="L66" i="13"/>
  <c r="M66" i="13"/>
  <c r="P66" i="13"/>
  <c r="S66" i="13"/>
  <c r="T66" i="13"/>
  <c r="U66" i="13"/>
  <c r="R66" i="13" s="1"/>
  <c r="I67" i="13"/>
  <c r="J67" i="13"/>
  <c r="K67" i="13"/>
  <c r="L67" i="13"/>
  <c r="M67" i="13"/>
  <c r="P67" i="13"/>
  <c r="U67" i="13"/>
  <c r="I68" i="13"/>
  <c r="J68" i="13"/>
  <c r="K68" i="13"/>
  <c r="L68" i="13"/>
  <c r="M68" i="13"/>
  <c r="P68" i="13"/>
  <c r="R68" i="13"/>
  <c r="U68" i="13"/>
  <c r="S68" i="13" s="1"/>
  <c r="I69" i="13"/>
  <c r="J69" i="13"/>
  <c r="K69" i="13"/>
  <c r="L69" i="13"/>
  <c r="M69" i="13"/>
  <c r="P69" i="13"/>
  <c r="U69" i="13"/>
  <c r="R69" i="13"/>
  <c r="I70" i="13"/>
  <c r="J70" i="13"/>
  <c r="K70" i="13"/>
  <c r="L70" i="13"/>
  <c r="M70" i="13"/>
  <c r="P70" i="13"/>
  <c r="S70" i="13"/>
  <c r="T70" i="13"/>
  <c r="U70" i="13"/>
  <c r="R70" i="13" s="1"/>
  <c r="I71" i="13"/>
  <c r="J71" i="13"/>
  <c r="K71" i="13"/>
  <c r="L71" i="13"/>
  <c r="M71" i="13"/>
  <c r="P71" i="13"/>
  <c r="U71" i="13"/>
  <c r="I72" i="13"/>
  <c r="J72" i="13"/>
  <c r="K72" i="13"/>
  <c r="L72" i="13"/>
  <c r="M72" i="13"/>
  <c r="P72" i="13"/>
  <c r="R72" i="13"/>
  <c r="U72" i="13"/>
  <c r="S72" i="13" s="1"/>
  <c r="V72" i="13"/>
  <c r="I73" i="13"/>
  <c r="J73" i="13"/>
  <c r="K73" i="13"/>
  <c r="L73" i="13"/>
  <c r="M73" i="13"/>
  <c r="P73" i="13"/>
  <c r="R73" i="13"/>
  <c r="U73" i="13"/>
  <c r="S73" i="13" s="1"/>
  <c r="V73" i="13"/>
  <c r="I74" i="13"/>
  <c r="J74" i="13"/>
  <c r="K74" i="13"/>
  <c r="L74" i="13"/>
  <c r="M74" i="13"/>
  <c r="P74" i="13"/>
  <c r="R74" i="13"/>
  <c r="U74" i="13"/>
  <c r="S74" i="13" s="1"/>
  <c r="V74" i="13"/>
  <c r="I75" i="13"/>
  <c r="J75" i="13"/>
  <c r="K75" i="13"/>
  <c r="L75" i="13"/>
  <c r="M75" i="13"/>
  <c r="P75" i="13"/>
  <c r="R75" i="13"/>
  <c r="U75" i="13"/>
  <c r="S75" i="13" s="1"/>
  <c r="V75" i="13"/>
  <c r="I76" i="13"/>
  <c r="J76" i="13"/>
  <c r="K76" i="13"/>
  <c r="L76" i="13"/>
  <c r="M76" i="13"/>
  <c r="P76" i="13"/>
  <c r="R76" i="13"/>
  <c r="U76" i="13"/>
  <c r="S76" i="13" s="1"/>
  <c r="V76" i="13"/>
  <c r="I77" i="13"/>
  <c r="J77" i="13"/>
  <c r="K77" i="13"/>
  <c r="L77" i="13"/>
  <c r="M77" i="13"/>
  <c r="P77" i="13"/>
  <c r="R77" i="13"/>
  <c r="U77" i="13"/>
  <c r="S77" i="13" s="1"/>
  <c r="V77" i="13"/>
  <c r="I78" i="13"/>
  <c r="J78" i="13"/>
  <c r="K78" i="13"/>
  <c r="L78" i="13"/>
  <c r="M78" i="13"/>
  <c r="P78" i="13"/>
  <c r="R78" i="13"/>
  <c r="U78" i="13"/>
  <c r="S78" i="13" s="1"/>
  <c r="V78" i="13"/>
  <c r="I79" i="13"/>
  <c r="J79" i="13"/>
  <c r="K79" i="13"/>
  <c r="L79" i="13"/>
  <c r="M79" i="13"/>
  <c r="P79" i="13"/>
  <c r="R79" i="13"/>
  <c r="U79" i="13"/>
  <c r="S79" i="13" s="1"/>
  <c r="V79" i="13"/>
  <c r="I80" i="13"/>
  <c r="J80" i="13"/>
  <c r="K80" i="13"/>
  <c r="L80" i="13"/>
  <c r="M80" i="13"/>
  <c r="P80" i="13"/>
  <c r="R80" i="13"/>
  <c r="U80" i="13"/>
  <c r="S80" i="13" s="1"/>
  <c r="V80" i="13"/>
  <c r="I81" i="13"/>
  <c r="J81" i="13"/>
  <c r="K81" i="13"/>
  <c r="L81" i="13"/>
  <c r="M81" i="13"/>
  <c r="P81" i="13"/>
  <c r="R81" i="13"/>
  <c r="U81" i="13"/>
  <c r="S81" i="13" s="1"/>
  <c r="V81" i="13"/>
  <c r="I82" i="13"/>
  <c r="J82" i="13"/>
  <c r="K82" i="13"/>
  <c r="L82" i="13"/>
  <c r="M82" i="13"/>
  <c r="P82" i="13"/>
  <c r="R82" i="13"/>
  <c r="U82" i="13"/>
  <c r="S82" i="13" s="1"/>
  <c r="I83" i="13"/>
  <c r="J83" i="13"/>
  <c r="K83" i="13"/>
  <c r="L83" i="13"/>
  <c r="M83" i="13"/>
  <c r="P83" i="13"/>
  <c r="U83" i="13"/>
  <c r="R83" i="13"/>
  <c r="I84" i="13"/>
  <c r="J84" i="13"/>
  <c r="K84" i="13"/>
  <c r="L84" i="13"/>
  <c r="M84" i="13"/>
  <c r="P84" i="13"/>
  <c r="S84" i="13"/>
  <c r="T84" i="13"/>
  <c r="U84" i="13"/>
  <c r="R84" i="13" s="1"/>
  <c r="I85" i="13"/>
  <c r="J85" i="13"/>
  <c r="K85" i="13"/>
  <c r="L85" i="13"/>
  <c r="M85" i="13"/>
  <c r="P85" i="13"/>
  <c r="U85" i="13"/>
  <c r="I86" i="13"/>
  <c r="J86" i="13"/>
  <c r="K86" i="13"/>
  <c r="L86" i="13"/>
  <c r="M86" i="13"/>
  <c r="P86" i="13"/>
  <c r="R86" i="13"/>
  <c r="U86" i="13"/>
  <c r="S86" i="13" s="1"/>
  <c r="V86" i="13"/>
  <c r="I87" i="13"/>
  <c r="J87" i="13"/>
  <c r="K87" i="13"/>
  <c r="L87" i="13"/>
  <c r="M87" i="13"/>
  <c r="P87" i="13"/>
  <c r="R87" i="13"/>
  <c r="U87" i="13"/>
  <c r="S87" i="13" s="1"/>
  <c r="V87" i="13"/>
  <c r="I88" i="13"/>
  <c r="J88" i="13"/>
  <c r="K88" i="13"/>
  <c r="L88" i="13"/>
  <c r="M88" i="13"/>
  <c r="P88" i="13"/>
  <c r="R88" i="13"/>
  <c r="U88" i="13"/>
  <c r="S88" i="13" s="1"/>
  <c r="V88" i="13"/>
  <c r="I89" i="13"/>
  <c r="J89" i="13"/>
  <c r="K89" i="13"/>
  <c r="L89" i="13"/>
  <c r="M89" i="13"/>
  <c r="P89" i="13"/>
  <c r="R89" i="13"/>
  <c r="U89" i="13"/>
  <c r="S89" i="13" s="1"/>
  <c r="V89" i="13"/>
  <c r="I90" i="13"/>
  <c r="J90" i="13"/>
  <c r="K90" i="13"/>
  <c r="L90" i="13"/>
  <c r="M90" i="13"/>
  <c r="P90" i="13"/>
  <c r="R90" i="13"/>
  <c r="U90" i="13"/>
  <c r="S90" i="13" s="1"/>
  <c r="V90" i="13"/>
  <c r="I91" i="13"/>
  <c r="J91" i="13"/>
  <c r="K91" i="13"/>
  <c r="L91" i="13"/>
  <c r="M91" i="13"/>
  <c r="P91" i="13"/>
  <c r="R91" i="13"/>
  <c r="U91" i="13"/>
  <c r="S91" i="13" s="1"/>
  <c r="V91" i="13"/>
  <c r="I92" i="13"/>
  <c r="J92" i="13"/>
  <c r="K92" i="13"/>
  <c r="L92" i="13"/>
  <c r="M92" i="13"/>
  <c r="P92" i="13"/>
  <c r="R92" i="13"/>
  <c r="U92" i="13"/>
  <c r="S92" i="13" s="1"/>
  <c r="I93" i="13"/>
  <c r="J93" i="13"/>
  <c r="K93" i="13"/>
  <c r="L93" i="13"/>
  <c r="M93" i="13"/>
  <c r="P93" i="13"/>
  <c r="U93" i="13"/>
  <c r="R93" i="13"/>
  <c r="I94" i="13"/>
  <c r="J94" i="13"/>
  <c r="K94" i="13"/>
  <c r="L94" i="13"/>
  <c r="M94" i="13"/>
  <c r="P94" i="13"/>
  <c r="S94" i="13"/>
  <c r="T94" i="13"/>
  <c r="U94" i="13"/>
  <c r="R94" i="13" s="1"/>
  <c r="I95" i="13"/>
  <c r="J95" i="13"/>
  <c r="K95" i="13"/>
  <c r="L95" i="13"/>
  <c r="M95" i="13"/>
  <c r="P95" i="13"/>
  <c r="U95" i="13"/>
  <c r="I96" i="13"/>
  <c r="J96" i="13"/>
  <c r="K96" i="13"/>
  <c r="L96" i="13"/>
  <c r="M96" i="13"/>
  <c r="P96" i="13"/>
  <c r="R96" i="13"/>
  <c r="U96" i="13"/>
  <c r="S96" i="13" s="1"/>
  <c r="I97" i="13"/>
  <c r="J97" i="13"/>
  <c r="K97" i="13"/>
  <c r="L97" i="13"/>
  <c r="M97" i="13"/>
  <c r="P97" i="13"/>
  <c r="U97" i="13"/>
  <c r="R97" i="13"/>
  <c r="I98" i="13"/>
  <c r="J98" i="13"/>
  <c r="K98" i="13"/>
  <c r="L98" i="13"/>
  <c r="M98" i="13"/>
  <c r="P98" i="13"/>
  <c r="S98" i="13"/>
  <c r="T98" i="13"/>
  <c r="U98" i="13"/>
  <c r="R98" i="13" s="1"/>
  <c r="I99" i="13"/>
  <c r="J99" i="13"/>
  <c r="K99" i="13"/>
  <c r="L99" i="13"/>
  <c r="M99" i="13"/>
  <c r="P99" i="13"/>
  <c r="U99" i="13"/>
  <c r="I100" i="13"/>
  <c r="J100" i="13"/>
  <c r="K100" i="13"/>
  <c r="L100" i="13"/>
  <c r="M100" i="13"/>
  <c r="P100" i="13"/>
  <c r="R100" i="13"/>
  <c r="U100" i="13"/>
  <c r="S100" i="13" s="1"/>
  <c r="I101" i="13"/>
  <c r="J101" i="13"/>
  <c r="K101" i="13"/>
  <c r="L101" i="13"/>
  <c r="M101" i="13"/>
  <c r="P101" i="13"/>
  <c r="U101" i="13"/>
  <c r="R101" i="13"/>
  <c r="I102" i="13"/>
  <c r="J102" i="13"/>
  <c r="K102" i="13"/>
  <c r="L102" i="13"/>
  <c r="M102" i="13"/>
  <c r="P102" i="13"/>
  <c r="S102" i="13"/>
  <c r="T102" i="13"/>
  <c r="U102" i="13"/>
  <c r="R102" i="13" s="1"/>
  <c r="I103" i="13"/>
  <c r="J103" i="13"/>
  <c r="K103" i="13"/>
  <c r="L103" i="13"/>
  <c r="M103" i="13"/>
  <c r="P103" i="13"/>
  <c r="U103" i="13"/>
  <c r="I104" i="13"/>
  <c r="J104" i="13"/>
  <c r="K104" i="13"/>
  <c r="L104" i="13"/>
  <c r="M104" i="13"/>
  <c r="P104" i="13"/>
  <c r="R104" i="13"/>
  <c r="U104" i="13"/>
  <c r="S104" i="13" s="1"/>
  <c r="V104" i="13"/>
  <c r="I105" i="13"/>
  <c r="J105" i="13"/>
  <c r="K105" i="13"/>
  <c r="L105" i="13"/>
  <c r="M105" i="13"/>
  <c r="P105" i="13"/>
  <c r="R105" i="13"/>
  <c r="U105" i="13"/>
  <c r="S105" i="13" s="1"/>
  <c r="V105" i="13"/>
  <c r="I106" i="13"/>
  <c r="J106" i="13"/>
  <c r="K106" i="13"/>
  <c r="L106" i="13"/>
  <c r="M106" i="13"/>
  <c r="P106" i="13"/>
  <c r="R106" i="13"/>
  <c r="U106" i="13"/>
  <c r="S106" i="13" s="1"/>
  <c r="V106" i="13"/>
  <c r="I107" i="13"/>
  <c r="J107" i="13"/>
  <c r="K107" i="13"/>
  <c r="L107" i="13"/>
  <c r="M107" i="13"/>
  <c r="P107" i="13"/>
  <c r="R107" i="13"/>
  <c r="U107" i="13"/>
  <c r="S107" i="13" s="1"/>
  <c r="V107" i="13"/>
  <c r="I108" i="13"/>
  <c r="J108" i="13"/>
  <c r="K108" i="13"/>
  <c r="L108" i="13"/>
  <c r="M108" i="13"/>
  <c r="P108" i="13"/>
  <c r="R108" i="13"/>
  <c r="U108" i="13"/>
  <c r="S108" i="13" s="1"/>
  <c r="V108" i="13"/>
  <c r="I109" i="13"/>
  <c r="J109" i="13"/>
  <c r="K109" i="13"/>
  <c r="L109" i="13"/>
  <c r="M109" i="13"/>
  <c r="P109" i="13"/>
  <c r="R109" i="13"/>
  <c r="U109" i="13"/>
  <c r="S109" i="13" s="1"/>
  <c r="V109" i="13"/>
  <c r="I110" i="13"/>
  <c r="J110" i="13"/>
  <c r="K110" i="13"/>
  <c r="L110" i="13"/>
  <c r="M110" i="13"/>
  <c r="P110" i="13"/>
  <c r="R110" i="13"/>
  <c r="U110" i="13"/>
  <c r="S110" i="13" s="1"/>
  <c r="V110" i="13"/>
  <c r="I111" i="13"/>
  <c r="J111" i="13"/>
  <c r="K111" i="13"/>
  <c r="L111" i="13"/>
  <c r="M111" i="13"/>
  <c r="P111" i="13"/>
  <c r="R111" i="13"/>
  <c r="U111" i="13"/>
  <c r="S111" i="13" s="1"/>
  <c r="V111" i="13"/>
  <c r="I112" i="13"/>
  <c r="J112" i="13"/>
  <c r="K112" i="13"/>
  <c r="L112" i="13"/>
  <c r="M112" i="13"/>
  <c r="P112" i="13"/>
  <c r="R112" i="13"/>
  <c r="U112" i="13"/>
  <c r="S112" i="13" s="1"/>
  <c r="V112" i="13"/>
  <c r="I113" i="13"/>
  <c r="J113" i="13"/>
  <c r="K113" i="13"/>
  <c r="L113" i="13"/>
  <c r="M113" i="13"/>
  <c r="P113" i="13"/>
  <c r="R113" i="13"/>
  <c r="U113" i="13"/>
  <c r="S113" i="13" s="1"/>
  <c r="V113" i="13"/>
  <c r="I114" i="13"/>
  <c r="J114" i="13"/>
  <c r="K114" i="13"/>
  <c r="L114" i="13"/>
  <c r="M114" i="13"/>
  <c r="P114" i="13"/>
  <c r="R114" i="13"/>
  <c r="U114" i="13"/>
  <c r="S114" i="13" s="1"/>
  <c r="V114" i="13"/>
  <c r="I115" i="13"/>
  <c r="J115" i="13"/>
  <c r="K115" i="13"/>
  <c r="L115" i="13"/>
  <c r="M115" i="13"/>
  <c r="P115" i="13"/>
  <c r="R115" i="13"/>
  <c r="U115" i="13"/>
  <c r="S115" i="13" s="1"/>
  <c r="V115" i="13"/>
  <c r="I116" i="13"/>
  <c r="J116" i="13"/>
  <c r="K116" i="13"/>
  <c r="L116" i="13"/>
  <c r="M116" i="13"/>
  <c r="P116" i="13"/>
  <c r="R116" i="13"/>
  <c r="U116" i="13"/>
  <c r="S116" i="13" s="1"/>
  <c r="I117" i="13"/>
  <c r="J117" i="13"/>
  <c r="K117" i="13"/>
  <c r="L117" i="13"/>
  <c r="M117" i="13"/>
  <c r="P117" i="13"/>
  <c r="U117" i="13"/>
  <c r="R117" i="13"/>
  <c r="I118" i="13"/>
  <c r="J118" i="13"/>
  <c r="K118" i="13"/>
  <c r="L118" i="13"/>
  <c r="M118" i="13"/>
  <c r="P118" i="13"/>
  <c r="S118" i="13"/>
  <c r="T118" i="13"/>
  <c r="U118" i="13"/>
  <c r="R118" i="13" s="1"/>
  <c r="V118" i="13"/>
  <c r="W118" i="13"/>
  <c r="I119" i="13"/>
  <c r="J119" i="13"/>
  <c r="K119" i="13"/>
  <c r="L119" i="13"/>
  <c r="M119" i="13"/>
  <c r="P119" i="13"/>
  <c r="S119" i="13"/>
  <c r="T119" i="13"/>
  <c r="U119" i="13"/>
  <c r="R119" i="13" s="1"/>
  <c r="I120" i="13"/>
  <c r="J120" i="13"/>
  <c r="K120" i="13"/>
  <c r="L120" i="13"/>
  <c r="M120" i="13"/>
  <c r="P120" i="13"/>
  <c r="U120" i="13"/>
  <c r="I121" i="13"/>
  <c r="J121" i="13"/>
  <c r="K121" i="13"/>
  <c r="L121" i="13"/>
  <c r="M121" i="13"/>
  <c r="P121" i="13"/>
  <c r="R121" i="13"/>
  <c r="U121" i="13"/>
  <c r="S121" i="13" s="1"/>
  <c r="I122" i="13"/>
  <c r="J122" i="13"/>
  <c r="K122" i="13"/>
  <c r="L122" i="13"/>
  <c r="M122" i="13"/>
  <c r="P122" i="13"/>
  <c r="U122" i="13"/>
  <c r="R122" i="13"/>
  <c r="I123" i="13"/>
  <c r="J123" i="13"/>
  <c r="K123" i="13"/>
  <c r="L123" i="13"/>
  <c r="M123" i="13"/>
  <c r="P123" i="13"/>
  <c r="S123" i="13"/>
  <c r="T123" i="13"/>
  <c r="U123" i="13"/>
  <c r="R123" i="13" s="1"/>
  <c r="V123" i="13"/>
  <c r="W123" i="13"/>
  <c r="I124" i="13"/>
  <c r="J124" i="13"/>
  <c r="K124" i="13"/>
  <c r="L124" i="13"/>
  <c r="M124" i="13"/>
  <c r="P124" i="13"/>
  <c r="S124" i="13"/>
  <c r="T124" i="13"/>
  <c r="U124" i="13"/>
  <c r="R124" i="13" s="1"/>
  <c r="V124" i="13"/>
  <c r="W124" i="13"/>
  <c r="I125" i="13"/>
  <c r="J125" i="13"/>
  <c r="K125" i="13"/>
  <c r="L125" i="13"/>
  <c r="M125" i="13"/>
  <c r="P125" i="13"/>
  <c r="S125" i="13"/>
  <c r="T125" i="13"/>
  <c r="U125" i="13"/>
  <c r="R125" i="13" s="1"/>
  <c r="I126" i="13"/>
  <c r="J126" i="13"/>
  <c r="K126" i="13"/>
  <c r="L126" i="13"/>
  <c r="M126" i="13"/>
  <c r="P126" i="13"/>
  <c r="U126" i="13"/>
  <c r="I127" i="13"/>
  <c r="J127" i="13"/>
  <c r="K127" i="13"/>
  <c r="L127" i="13"/>
  <c r="M127" i="13"/>
  <c r="P127" i="13"/>
  <c r="R127" i="13"/>
  <c r="U127" i="13"/>
  <c r="S127" i="13" s="1"/>
  <c r="I128" i="13"/>
  <c r="J128" i="13"/>
  <c r="K128" i="13"/>
  <c r="L128" i="13"/>
  <c r="M128" i="13"/>
  <c r="P128" i="13"/>
  <c r="U128" i="13"/>
  <c r="R128" i="13"/>
  <c r="I129" i="13"/>
  <c r="J129" i="13"/>
  <c r="K129" i="13"/>
  <c r="L129" i="13"/>
  <c r="M129" i="13"/>
  <c r="P129" i="13"/>
  <c r="S129" i="13"/>
  <c r="T129" i="13"/>
  <c r="U129" i="13"/>
  <c r="R129" i="13" s="1"/>
  <c r="I130" i="13"/>
  <c r="J130" i="13"/>
  <c r="K130" i="13"/>
  <c r="L130" i="13"/>
  <c r="M130" i="13"/>
  <c r="P130" i="13"/>
  <c r="U130" i="13"/>
  <c r="V130" i="13"/>
  <c r="I131" i="13"/>
  <c r="J131" i="13"/>
  <c r="K131" i="13"/>
  <c r="L131" i="13"/>
  <c r="M131" i="13"/>
  <c r="P131" i="13"/>
  <c r="U131" i="13"/>
  <c r="R131" i="13" s="1"/>
  <c r="V131" i="13"/>
  <c r="W131" i="13" s="1"/>
  <c r="I132" i="13"/>
  <c r="J132" i="13"/>
  <c r="K132" i="13"/>
  <c r="L132" i="13"/>
  <c r="M132" i="13"/>
  <c r="P132" i="13"/>
  <c r="U132" i="13"/>
  <c r="R132" i="13"/>
  <c r="V132" i="13"/>
  <c r="I133" i="13"/>
  <c r="J133" i="13"/>
  <c r="K133" i="13"/>
  <c r="L133" i="13"/>
  <c r="M133" i="13"/>
  <c r="P133" i="13"/>
  <c r="U133" i="13"/>
  <c r="W133" i="13" s="1"/>
  <c r="R133" i="13"/>
  <c r="V133" i="13"/>
  <c r="I134" i="13"/>
  <c r="J134" i="13"/>
  <c r="K134" i="13"/>
  <c r="L134" i="13"/>
  <c r="M134" i="13"/>
  <c r="P134" i="13"/>
  <c r="U134" i="13"/>
  <c r="V134" i="13"/>
  <c r="I135" i="13"/>
  <c r="J135" i="13"/>
  <c r="K135" i="13"/>
  <c r="L135" i="13"/>
  <c r="M135" i="13"/>
  <c r="P135" i="13"/>
  <c r="U135" i="13"/>
  <c r="R135" i="13" s="1"/>
  <c r="I136" i="13"/>
  <c r="J136" i="13"/>
  <c r="K136" i="13"/>
  <c r="L136" i="13"/>
  <c r="M136" i="13"/>
  <c r="P136" i="13"/>
  <c r="U136" i="13"/>
  <c r="I137" i="13"/>
  <c r="J137" i="13"/>
  <c r="K137" i="13"/>
  <c r="L137" i="13"/>
  <c r="M137" i="13"/>
  <c r="P137" i="13"/>
  <c r="U137" i="13"/>
  <c r="S137" i="13" s="1"/>
  <c r="R137" i="13"/>
  <c r="I138" i="13"/>
  <c r="J138" i="13"/>
  <c r="K138" i="13"/>
  <c r="L138" i="13"/>
  <c r="M138" i="13"/>
  <c r="P138" i="13"/>
  <c r="R138" i="13"/>
  <c r="S138" i="13"/>
  <c r="T138" i="13"/>
  <c r="U138" i="13"/>
  <c r="V138" i="13"/>
  <c r="W138" i="13"/>
  <c r="I139" i="13"/>
  <c r="J139" i="13"/>
  <c r="K139" i="13"/>
  <c r="L139" i="13"/>
  <c r="M139" i="13"/>
  <c r="P139" i="13"/>
  <c r="R139" i="13"/>
  <c r="S139" i="13"/>
  <c r="T139" i="13"/>
  <c r="U139" i="13"/>
  <c r="V139" i="13"/>
  <c r="W139" i="13"/>
  <c r="I140" i="13"/>
  <c r="J140" i="13"/>
  <c r="K140" i="13"/>
  <c r="L140" i="13"/>
  <c r="M140" i="13"/>
  <c r="P140" i="13"/>
  <c r="R140" i="13"/>
  <c r="S140" i="13"/>
  <c r="T140" i="13"/>
  <c r="U140" i="13"/>
  <c r="I141" i="13"/>
  <c r="J141" i="13"/>
  <c r="K141" i="13"/>
  <c r="L141" i="13"/>
  <c r="M141" i="13"/>
  <c r="P141" i="13"/>
  <c r="U141" i="13"/>
  <c r="R141" i="13" s="1"/>
  <c r="I142" i="13"/>
  <c r="J142" i="13"/>
  <c r="K142" i="13"/>
  <c r="L142" i="13"/>
  <c r="M142" i="13"/>
  <c r="P142" i="13"/>
  <c r="U142" i="13"/>
  <c r="I143" i="13"/>
  <c r="J143" i="13"/>
  <c r="K143" i="13"/>
  <c r="L143" i="13"/>
  <c r="M143" i="13"/>
  <c r="P143" i="13"/>
  <c r="U143" i="13"/>
  <c r="T143" i="13" s="1"/>
  <c r="R143" i="13"/>
  <c r="V143" i="13"/>
  <c r="I144" i="13"/>
  <c r="J144" i="13"/>
  <c r="K144" i="13"/>
  <c r="L144" i="13"/>
  <c r="M144" i="13"/>
  <c r="P144" i="13"/>
  <c r="U144" i="13"/>
  <c r="V144" i="13"/>
  <c r="I145" i="13"/>
  <c r="J145" i="13"/>
  <c r="K145" i="13"/>
  <c r="L145" i="13"/>
  <c r="M145" i="13"/>
  <c r="P145" i="13"/>
  <c r="U145" i="13"/>
  <c r="R145" i="13" s="1"/>
  <c r="I146" i="13"/>
  <c r="J146" i="13"/>
  <c r="K146" i="13"/>
  <c r="L146" i="13"/>
  <c r="M146" i="13"/>
  <c r="P146" i="13"/>
  <c r="U146" i="13"/>
  <c r="I147" i="13"/>
  <c r="J147" i="13"/>
  <c r="K147" i="13"/>
  <c r="L147" i="13"/>
  <c r="M147" i="13"/>
  <c r="P147" i="13"/>
  <c r="U147" i="13"/>
  <c r="R147" i="13"/>
  <c r="I148" i="13"/>
  <c r="J148" i="13"/>
  <c r="K148" i="13"/>
  <c r="L148" i="13"/>
  <c r="M148" i="13"/>
  <c r="P148" i="13"/>
  <c r="R148" i="13"/>
  <c r="S148" i="13"/>
  <c r="T148" i="13"/>
  <c r="U148" i="13"/>
  <c r="I149" i="13"/>
  <c r="J149" i="13"/>
  <c r="K149" i="13"/>
  <c r="L149" i="13"/>
  <c r="M149" i="13"/>
  <c r="P149" i="13"/>
  <c r="U149" i="13"/>
  <c r="R149" i="13" s="1"/>
  <c r="V149" i="13"/>
  <c r="W149" i="13" s="1"/>
  <c r="I150" i="13"/>
  <c r="J150" i="13"/>
  <c r="K150" i="13"/>
  <c r="L150" i="13"/>
  <c r="M150" i="13"/>
  <c r="P150" i="13"/>
  <c r="U150" i="13"/>
  <c r="R150" i="13"/>
  <c r="V150" i="13"/>
  <c r="W150" i="13" s="1"/>
  <c r="I151" i="13"/>
  <c r="J151" i="13"/>
  <c r="K151" i="13"/>
  <c r="L151" i="13"/>
  <c r="M151" i="13"/>
  <c r="P151" i="13"/>
  <c r="U151" i="13"/>
  <c r="W151" i="13" s="1"/>
  <c r="R151" i="13"/>
  <c r="V151" i="13"/>
  <c r="I152" i="13"/>
  <c r="J152" i="13"/>
  <c r="K152" i="13"/>
  <c r="L152" i="13"/>
  <c r="M152" i="13"/>
  <c r="P152" i="13"/>
  <c r="U152" i="13"/>
  <c r="V152" i="13"/>
  <c r="I153" i="13"/>
  <c r="J153" i="13"/>
  <c r="K153" i="13"/>
  <c r="L153" i="13"/>
  <c r="M153" i="13"/>
  <c r="P153" i="13"/>
  <c r="U153" i="13"/>
  <c r="R153" i="13" s="1"/>
  <c r="V153" i="13"/>
  <c r="W153" i="13" s="1"/>
  <c r="I154" i="13"/>
  <c r="J154" i="13"/>
  <c r="K154" i="13"/>
  <c r="L154" i="13"/>
  <c r="M154" i="13"/>
  <c r="P154" i="13"/>
  <c r="U154" i="13"/>
  <c r="R154" i="13"/>
  <c r="I155" i="13"/>
  <c r="J155" i="13"/>
  <c r="K155" i="13"/>
  <c r="L155" i="13"/>
  <c r="M155" i="13"/>
  <c r="P155" i="13"/>
  <c r="S155" i="13"/>
  <c r="T155" i="13"/>
  <c r="U155" i="13"/>
  <c r="R155" i="13" s="1"/>
  <c r="I156" i="13"/>
  <c r="J156" i="13"/>
  <c r="K156" i="13"/>
  <c r="L156" i="13"/>
  <c r="M156" i="13"/>
  <c r="P156" i="13"/>
  <c r="U156" i="13"/>
  <c r="I157" i="13"/>
  <c r="J157" i="13"/>
  <c r="K157" i="13"/>
  <c r="L157" i="13"/>
  <c r="M157" i="13"/>
  <c r="P157" i="13"/>
  <c r="R157" i="13"/>
  <c r="U157" i="13"/>
  <c r="S157" i="13" s="1"/>
  <c r="I158" i="13"/>
  <c r="J158" i="13"/>
  <c r="K158" i="13"/>
  <c r="L158" i="13"/>
  <c r="M158" i="13"/>
  <c r="P158" i="13"/>
  <c r="U158" i="13"/>
  <c r="R158" i="13"/>
  <c r="V158" i="13"/>
  <c r="W158" i="13" s="1"/>
  <c r="I159" i="13"/>
  <c r="J159" i="13"/>
  <c r="K159" i="13"/>
  <c r="L159" i="13"/>
  <c r="M159" i="13"/>
  <c r="P159" i="13"/>
  <c r="U159" i="13"/>
  <c r="T159" i="13" s="1"/>
  <c r="R159" i="13"/>
  <c r="V159" i="13"/>
  <c r="I160" i="13"/>
  <c r="J160" i="13"/>
  <c r="K160" i="13"/>
  <c r="L160" i="13"/>
  <c r="M160" i="13"/>
  <c r="P160" i="13"/>
  <c r="U160" i="13"/>
  <c r="V160" i="13"/>
  <c r="I161" i="13"/>
  <c r="J161" i="13"/>
  <c r="K161" i="13"/>
  <c r="L161" i="13"/>
  <c r="M161" i="13"/>
  <c r="P161" i="13"/>
  <c r="U161" i="13"/>
  <c r="R161" i="13" s="1"/>
  <c r="I162" i="13"/>
  <c r="J162" i="13"/>
  <c r="K162" i="13"/>
  <c r="L162" i="13"/>
  <c r="M162" i="13"/>
  <c r="P162" i="13"/>
  <c r="U162" i="13"/>
  <c r="V162" i="13"/>
  <c r="I163" i="13"/>
  <c r="J163" i="13"/>
  <c r="K163" i="13"/>
  <c r="L163" i="13"/>
  <c r="M163" i="13"/>
  <c r="P163" i="13"/>
  <c r="U163" i="13"/>
  <c r="V163" i="13"/>
  <c r="I164" i="13"/>
  <c r="J164" i="13"/>
  <c r="K164" i="13"/>
  <c r="L164" i="13"/>
  <c r="M164" i="13"/>
  <c r="P164" i="13"/>
  <c r="U164" i="13"/>
  <c r="V164" i="13"/>
  <c r="I165" i="13"/>
  <c r="J165" i="13"/>
  <c r="K165" i="13"/>
  <c r="L165" i="13"/>
  <c r="M165" i="13"/>
  <c r="P165" i="13"/>
  <c r="U165" i="13"/>
  <c r="V165" i="13"/>
  <c r="I166" i="13"/>
  <c r="J166" i="13"/>
  <c r="K166" i="13"/>
  <c r="L166" i="13"/>
  <c r="M166" i="13"/>
  <c r="P166" i="13"/>
  <c r="U166" i="13"/>
  <c r="V166" i="13"/>
  <c r="I167" i="13"/>
  <c r="J167" i="13"/>
  <c r="K167" i="13"/>
  <c r="L167" i="13"/>
  <c r="M167" i="13"/>
  <c r="P167" i="13"/>
  <c r="U167" i="13"/>
  <c r="I168" i="13"/>
  <c r="J168" i="13"/>
  <c r="K168" i="13"/>
  <c r="L168" i="13"/>
  <c r="M168" i="13"/>
  <c r="P168" i="13"/>
  <c r="U168" i="13"/>
  <c r="R168" i="13"/>
  <c r="I169" i="13"/>
  <c r="J169" i="13"/>
  <c r="K169" i="13"/>
  <c r="L169" i="13"/>
  <c r="M169" i="13"/>
  <c r="P169" i="13"/>
  <c r="R169" i="13"/>
  <c r="S169" i="13"/>
  <c r="T169" i="13"/>
  <c r="U169" i="13"/>
  <c r="I170" i="13"/>
  <c r="J170" i="13"/>
  <c r="K170" i="13"/>
  <c r="L170" i="13"/>
  <c r="M170" i="13"/>
  <c r="P170" i="13"/>
  <c r="U170" i="13"/>
  <c r="R170" i="13" s="1"/>
  <c r="V170" i="13"/>
  <c r="W170" i="13" s="1"/>
  <c r="I171" i="13"/>
  <c r="J171" i="13"/>
  <c r="K171" i="13"/>
  <c r="L171" i="13"/>
  <c r="M171" i="13"/>
  <c r="P171" i="13"/>
  <c r="U171" i="13"/>
  <c r="R171" i="13"/>
  <c r="V171" i="13"/>
  <c r="W171" i="13" s="1"/>
  <c r="I172" i="13"/>
  <c r="J172" i="13"/>
  <c r="K172" i="13"/>
  <c r="L172" i="13"/>
  <c r="M172" i="13"/>
  <c r="P172" i="13"/>
  <c r="U172" i="13"/>
  <c r="S172" i="13" s="1"/>
  <c r="R172" i="13"/>
  <c r="I173" i="13"/>
  <c r="J173" i="13"/>
  <c r="K173" i="13"/>
  <c r="L173" i="13"/>
  <c r="M173" i="13"/>
  <c r="P173" i="13"/>
  <c r="R173" i="13"/>
  <c r="S173" i="13"/>
  <c r="T173" i="13"/>
  <c r="U173" i="13"/>
  <c r="I174" i="13"/>
  <c r="J174" i="13"/>
  <c r="K174" i="13"/>
  <c r="L174" i="13"/>
  <c r="M174" i="13"/>
  <c r="P174" i="13"/>
  <c r="U174" i="13"/>
  <c r="R174" i="13" s="1"/>
  <c r="I175" i="13"/>
  <c r="J175" i="13"/>
  <c r="K175" i="13"/>
  <c r="L175" i="13"/>
  <c r="M175" i="13"/>
  <c r="P175" i="13"/>
  <c r="U175" i="13"/>
  <c r="I176" i="13"/>
  <c r="J176" i="13"/>
  <c r="K176" i="13"/>
  <c r="L176" i="13"/>
  <c r="M176" i="13"/>
  <c r="P176" i="13"/>
  <c r="U176" i="13"/>
  <c r="T176" i="13" s="1"/>
  <c r="R176" i="13"/>
  <c r="V176" i="13"/>
  <c r="I177" i="13"/>
  <c r="J177" i="13"/>
  <c r="K177" i="13"/>
  <c r="L177" i="13"/>
  <c r="M177" i="13"/>
  <c r="P177" i="13"/>
  <c r="U177" i="13"/>
  <c r="V177" i="13"/>
  <c r="I178" i="13"/>
  <c r="J178" i="13"/>
  <c r="K178" i="13"/>
  <c r="L178" i="13"/>
  <c r="M178" i="13"/>
  <c r="P178" i="13"/>
  <c r="U178" i="13"/>
  <c r="R178" i="13" s="1"/>
  <c r="V178" i="13"/>
  <c r="I179" i="13"/>
  <c r="J179" i="13"/>
  <c r="K179" i="13"/>
  <c r="L179" i="13"/>
  <c r="M179" i="13"/>
  <c r="P179" i="13"/>
  <c r="U179" i="13"/>
  <c r="R179" i="13"/>
  <c r="V179" i="13"/>
  <c r="W179" i="13" s="1"/>
  <c r="I180" i="13"/>
  <c r="J180" i="13"/>
  <c r="K180" i="13"/>
  <c r="L180" i="13"/>
  <c r="M180" i="13"/>
  <c r="P180" i="13"/>
  <c r="U180" i="13"/>
  <c r="T180" i="13" s="1"/>
  <c r="R180" i="13"/>
  <c r="I181" i="13"/>
  <c r="J181" i="13"/>
  <c r="K181" i="13"/>
  <c r="L181" i="13"/>
  <c r="M181" i="13"/>
  <c r="P181" i="13"/>
  <c r="R181" i="13"/>
  <c r="S181" i="13"/>
  <c r="T181" i="13"/>
  <c r="U181" i="13"/>
  <c r="I182" i="13"/>
  <c r="J182" i="13"/>
  <c r="K182" i="13"/>
  <c r="L182" i="13"/>
  <c r="M182" i="13"/>
  <c r="P182" i="13"/>
  <c r="U182" i="13"/>
  <c r="R182" i="13" s="1"/>
  <c r="I183" i="13"/>
  <c r="J183" i="13"/>
  <c r="K183" i="13"/>
  <c r="L183" i="13"/>
  <c r="M183" i="13"/>
  <c r="P183" i="13"/>
  <c r="U183" i="13"/>
  <c r="I184" i="13"/>
  <c r="J184" i="13"/>
  <c r="K184" i="13"/>
  <c r="L184" i="13"/>
  <c r="M184" i="13"/>
  <c r="P184" i="13"/>
  <c r="U184" i="13"/>
  <c r="S184" i="13" s="1"/>
  <c r="R184" i="13"/>
  <c r="I185" i="13"/>
  <c r="J185" i="13"/>
  <c r="K185" i="13"/>
  <c r="L185" i="13"/>
  <c r="M185" i="13"/>
  <c r="P185" i="13"/>
  <c r="R185" i="13"/>
  <c r="S185" i="13"/>
  <c r="T185" i="13"/>
  <c r="U185" i="13"/>
  <c r="I186" i="13"/>
  <c r="J186" i="13"/>
  <c r="K186" i="13"/>
  <c r="L186" i="13"/>
  <c r="M186" i="13"/>
  <c r="P186" i="13"/>
  <c r="U186" i="13"/>
  <c r="R186" i="13" s="1"/>
  <c r="I187" i="13"/>
  <c r="J187" i="13"/>
  <c r="K187" i="13"/>
  <c r="L187" i="13"/>
  <c r="M187" i="13"/>
  <c r="P187" i="13"/>
  <c r="U187" i="13"/>
  <c r="I188" i="13"/>
  <c r="J188" i="13"/>
  <c r="K188" i="13"/>
  <c r="L188" i="13"/>
  <c r="M188" i="13"/>
  <c r="P188" i="13"/>
  <c r="U188" i="13"/>
  <c r="T188" i="13" s="1"/>
  <c r="R188" i="13"/>
  <c r="I189" i="13"/>
  <c r="J189" i="13"/>
  <c r="K189" i="13"/>
  <c r="L189" i="13"/>
  <c r="M189" i="13"/>
  <c r="P189" i="13"/>
  <c r="R189" i="13"/>
  <c r="S189" i="13"/>
  <c r="T189" i="13"/>
  <c r="U189" i="13"/>
  <c r="I190" i="13"/>
  <c r="J190" i="13"/>
  <c r="K190" i="13"/>
  <c r="L190" i="13"/>
  <c r="M190" i="13"/>
  <c r="P190" i="13"/>
  <c r="U190" i="13"/>
  <c r="R190" i="13" s="1"/>
  <c r="I191" i="13"/>
  <c r="J191" i="13"/>
  <c r="K191" i="13"/>
  <c r="L191" i="13"/>
  <c r="M191" i="13"/>
  <c r="P191" i="13"/>
  <c r="U191" i="13"/>
  <c r="I192" i="13"/>
  <c r="J192" i="13"/>
  <c r="K192" i="13"/>
  <c r="L192" i="13"/>
  <c r="M192" i="13"/>
  <c r="P192" i="13"/>
  <c r="U192" i="13"/>
  <c r="S192" i="13" s="1"/>
  <c r="R192" i="13"/>
  <c r="I193" i="13"/>
  <c r="J193" i="13"/>
  <c r="K193" i="13"/>
  <c r="L193" i="13"/>
  <c r="M193" i="13"/>
  <c r="P193" i="13"/>
  <c r="R193" i="13"/>
  <c r="S193" i="13"/>
  <c r="T193" i="13"/>
  <c r="U193" i="13"/>
  <c r="I194" i="13"/>
  <c r="J194" i="13"/>
  <c r="K194" i="13"/>
  <c r="L194" i="13"/>
  <c r="M194" i="13"/>
  <c r="P194" i="13"/>
  <c r="U194" i="13"/>
  <c r="R194" i="13" s="1"/>
  <c r="V194" i="13"/>
  <c r="I195" i="13"/>
  <c r="J195" i="13"/>
  <c r="K195" i="13"/>
  <c r="L195" i="13"/>
  <c r="M195" i="13"/>
  <c r="P195" i="13"/>
  <c r="U195" i="13"/>
  <c r="R195" i="13"/>
  <c r="V195" i="13"/>
  <c r="W195" i="13" s="1"/>
  <c r="I196" i="13"/>
  <c r="J196" i="13"/>
  <c r="K196" i="13"/>
  <c r="L196" i="13"/>
  <c r="M196" i="13"/>
  <c r="P196" i="13"/>
  <c r="U196" i="13"/>
  <c r="T196" i="13" s="1"/>
  <c r="R196" i="13"/>
  <c r="V196" i="13"/>
  <c r="I197" i="13"/>
  <c r="J197" i="13"/>
  <c r="K197" i="13"/>
  <c r="L197" i="13"/>
  <c r="M197" i="13"/>
  <c r="P197" i="13"/>
  <c r="U197" i="13"/>
  <c r="V197" i="13"/>
  <c r="I198" i="13"/>
  <c r="J198" i="13"/>
  <c r="K198" i="13"/>
  <c r="L198" i="13"/>
  <c r="M198" i="13"/>
  <c r="P198" i="13"/>
  <c r="U198" i="13"/>
  <c r="R198" i="13" s="1"/>
  <c r="V198" i="13"/>
  <c r="I199" i="13"/>
  <c r="J199" i="13"/>
  <c r="K199" i="13"/>
  <c r="L199" i="13"/>
  <c r="M199" i="13"/>
  <c r="P199" i="13"/>
  <c r="U199" i="13"/>
  <c r="R199" i="13"/>
  <c r="V199" i="13"/>
  <c r="W199" i="13" s="1"/>
  <c r="I200" i="13"/>
  <c r="J200" i="13"/>
  <c r="K200" i="13"/>
  <c r="L200" i="13"/>
  <c r="M200" i="13"/>
  <c r="P200" i="13"/>
  <c r="U200" i="13"/>
  <c r="T200" i="13" s="1"/>
  <c r="R200" i="13"/>
  <c r="I201" i="13"/>
  <c r="J201" i="13"/>
  <c r="K201" i="13"/>
  <c r="L201" i="13"/>
  <c r="M201" i="13"/>
  <c r="P201" i="13"/>
  <c r="R201" i="13"/>
  <c r="S201" i="13"/>
  <c r="T201" i="13"/>
  <c r="U201" i="13"/>
  <c r="I202" i="13"/>
  <c r="J202" i="13"/>
  <c r="K202" i="13"/>
  <c r="L202" i="13"/>
  <c r="M202" i="13"/>
  <c r="P202" i="13"/>
  <c r="U202" i="13"/>
  <c r="R202" i="13" s="1"/>
  <c r="I203" i="13"/>
  <c r="J203" i="13"/>
  <c r="K203" i="13"/>
  <c r="L203" i="13"/>
  <c r="M203" i="13"/>
  <c r="P203" i="13"/>
  <c r="U203" i="13"/>
  <c r="I204" i="13"/>
  <c r="J204" i="13"/>
  <c r="K204" i="13"/>
  <c r="L204" i="13"/>
  <c r="M204" i="13"/>
  <c r="P204" i="13"/>
  <c r="U204" i="13"/>
  <c r="R204" i="13"/>
  <c r="I205" i="13"/>
  <c r="J205" i="13"/>
  <c r="K205" i="13"/>
  <c r="L205" i="13"/>
  <c r="M205" i="13"/>
  <c r="P205" i="13"/>
  <c r="R205" i="13"/>
  <c r="S205" i="13"/>
  <c r="T205" i="13"/>
  <c r="U205" i="13"/>
  <c r="V205" i="13"/>
  <c r="W205" i="13"/>
  <c r="I206" i="13"/>
  <c r="J206" i="13"/>
  <c r="K206" i="13"/>
  <c r="L206" i="13"/>
  <c r="M206" i="13"/>
  <c r="P206" i="13"/>
  <c r="R206" i="13"/>
  <c r="S206" i="13"/>
  <c r="T206" i="13"/>
  <c r="U206" i="13"/>
  <c r="K207" i="13"/>
  <c r="L207" i="13"/>
  <c r="M207" i="13"/>
  <c r="P207" i="13"/>
  <c r="R207" i="13"/>
  <c r="S207" i="13"/>
  <c r="T207" i="13"/>
  <c r="U207" i="13"/>
  <c r="I208" i="13"/>
  <c r="J208" i="13"/>
  <c r="K208" i="13"/>
  <c r="L208" i="13"/>
  <c r="M208" i="13"/>
  <c r="P208" i="13"/>
  <c r="U208" i="13"/>
  <c r="R208" i="13" s="1"/>
  <c r="V208" i="13"/>
  <c r="W208" i="13" s="1"/>
  <c r="I209" i="13"/>
  <c r="J209" i="13"/>
  <c r="K209" i="13"/>
  <c r="L209" i="13"/>
  <c r="M209" i="13"/>
  <c r="P209" i="13"/>
  <c r="U209" i="13"/>
  <c r="R209" i="13"/>
  <c r="V209" i="13"/>
  <c r="W209" i="13" s="1"/>
  <c r="I210" i="13"/>
  <c r="J210" i="13"/>
  <c r="K210" i="13"/>
  <c r="L210" i="13"/>
  <c r="M210" i="13"/>
  <c r="P210" i="13"/>
  <c r="U210" i="13"/>
  <c r="W210" i="13" s="1"/>
  <c r="R210" i="13"/>
  <c r="V210" i="13"/>
  <c r="I211" i="13"/>
  <c r="J211" i="13"/>
  <c r="K211" i="13"/>
  <c r="L211" i="13"/>
  <c r="M211" i="13"/>
  <c r="P211" i="13"/>
  <c r="U211" i="13"/>
  <c r="V211" i="13"/>
  <c r="I212" i="13"/>
  <c r="J212" i="13"/>
  <c r="K212" i="13"/>
  <c r="L212" i="13"/>
  <c r="M212" i="13"/>
  <c r="P212" i="13"/>
  <c r="U212" i="13"/>
  <c r="R212" i="13" s="1"/>
  <c r="I213" i="13"/>
  <c r="J213" i="13"/>
  <c r="K213" i="13"/>
  <c r="L213" i="13"/>
  <c r="M213" i="13"/>
  <c r="P213" i="13"/>
  <c r="U213" i="13"/>
  <c r="I214" i="13"/>
  <c r="J214" i="13"/>
  <c r="K214" i="13"/>
  <c r="L214" i="13"/>
  <c r="M214" i="13"/>
  <c r="P214" i="13"/>
  <c r="U214" i="13"/>
  <c r="T214" i="13" s="1"/>
  <c r="R214" i="13"/>
  <c r="I215" i="13"/>
  <c r="J215" i="13"/>
  <c r="K215" i="13"/>
  <c r="L215" i="13"/>
  <c r="M215" i="13"/>
  <c r="P215" i="13"/>
  <c r="R215" i="13"/>
  <c r="S215" i="13"/>
  <c r="T215" i="13"/>
  <c r="U215" i="13"/>
  <c r="I216" i="13"/>
  <c r="J216" i="13"/>
  <c r="K216" i="13"/>
  <c r="L216" i="13"/>
  <c r="M216" i="13"/>
  <c r="P216" i="13"/>
  <c r="U216" i="13"/>
  <c r="R216" i="13" s="1"/>
  <c r="I217" i="13"/>
  <c r="J217" i="13"/>
  <c r="K217" i="13"/>
  <c r="L217" i="13"/>
  <c r="M217" i="13"/>
  <c r="P217" i="13"/>
  <c r="U217" i="13"/>
  <c r="I218" i="13"/>
  <c r="J218" i="13"/>
  <c r="K218" i="13"/>
  <c r="L218" i="13"/>
  <c r="M218" i="13"/>
  <c r="P218" i="13"/>
  <c r="U218" i="13"/>
  <c r="R218" i="13"/>
  <c r="I219" i="13"/>
  <c r="J219" i="13"/>
  <c r="K219" i="13"/>
  <c r="L219" i="13"/>
  <c r="M219" i="13"/>
  <c r="P219" i="13"/>
  <c r="R219" i="13"/>
  <c r="S219" i="13"/>
  <c r="T219" i="13"/>
  <c r="U219" i="13"/>
  <c r="I220" i="13"/>
  <c r="J220" i="13"/>
  <c r="K220" i="13"/>
  <c r="L220" i="13"/>
  <c r="M220" i="13"/>
  <c r="P220" i="13"/>
  <c r="U220" i="13"/>
  <c r="R220" i="13" s="1"/>
  <c r="I221" i="13"/>
  <c r="J221" i="13"/>
  <c r="K221" i="13"/>
  <c r="L221" i="13"/>
  <c r="M221" i="13"/>
  <c r="P221" i="13"/>
  <c r="U221" i="13"/>
  <c r="I222" i="13"/>
  <c r="J222" i="13"/>
  <c r="K222" i="13"/>
  <c r="L222" i="13"/>
  <c r="M222" i="13"/>
  <c r="P222" i="13"/>
  <c r="U222" i="13"/>
  <c r="T222" i="13" s="1"/>
  <c r="R222" i="13"/>
  <c r="I223" i="13"/>
  <c r="J223" i="13"/>
  <c r="K223" i="13"/>
  <c r="L223" i="13"/>
  <c r="M223" i="13"/>
  <c r="P223" i="13"/>
  <c r="R223" i="13"/>
  <c r="S223" i="13"/>
  <c r="T223" i="13"/>
  <c r="U223" i="13"/>
  <c r="I224" i="13"/>
  <c r="J224" i="13"/>
  <c r="K224" i="13"/>
  <c r="L224" i="13"/>
  <c r="M224" i="13"/>
  <c r="P224" i="13"/>
  <c r="U224" i="13"/>
  <c r="R224" i="13" s="1"/>
  <c r="V224" i="13"/>
  <c r="I225" i="13"/>
  <c r="J225" i="13"/>
  <c r="K225" i="13"/>
  <c r="L225" i="13"/>
  <c r="M225" i="13"/>
  <c r="P225" i="13"/>
  <c r="U225" i="13"/>
  <c r="R225" i="13"/>
  <c r="V225" i="13"/>
  <c r="W225" i="13" s="1"/>
  <c r="I226" i="13"/>
  <c r="J226" i="13"/>
  <c r="K226" i="13"/>
  <c r="L226" i="13"/>
  <c r="M226" i="13"/>
  <c r="P226" i="13"/>
  <c r="U226" i="13"/>
  <c r="T226" i="13" s="1"/>
  <c r="R226" i="13"/>
  <c r="V226" i="13"/>
  <c r="I227" i="13"/>
  <c r="J227" i="13"/>
  <c r="K227" i="13"/>
  <c r="L227" i="13"/>
  <c r="M227" i="13"/>
  <c r="P227" i="13"/>
  <c r="U227" i="13"/>
  <c r="V227" i="13"/>
  <c r="I228" i="13"/>
  <c r="J228" i="13"/>
  <c r="K228" i="13"/>
  <c r="L228" i="13"/>
  <c r="M228" i="13"/>
  <c r="P228" i="13"/>
  <c r="U228" i="13"/>
  <c r="R228" i="13" s="1"/>
  <c r="V228" i="13"/>
  <c r="I229" i="13"/>
  <c r="J229" i="13"/>
  <c r="K229" i="13"/>
  <c r="L229" i="13"/>
  <c r="M229" i="13"/>
  <c r="P229" i="13"/>
  <c r="U229" i="13"/>
  <c r="R229" i="13"/>
  <c r="V229" i="13"/>
  <c r="W229" i="13" s="1"/>
  <c r="I230" i="13"/>
  <c r="J230" i="13"/>
  <c r="K230" i="13"/>
  <c r="L230" i="13"/>
  <c r="M230" i="13"/>
  <c r="P230" i="13"/>
  <c r="U230" i="13"/>
  <c r="T230" i="13" s="1"/>
  <c r="R230" i="13"/>
  <c r="V230" i="13"/>
  <c r="I231" i="13"/>
  <c r="J231" i="13"/>
  <c r="K231" i="13"/>
  <c r="L231" i="13"/>
  <c r="M231" i="13"/>
  <c r="P231" i="13"/>
  <c r="U231" i="13"/>
  <c r="V231" i="13"/>
  <c r="I232" i="13"/>
  <c r="J232" i="13"/>
  <c r="K232" i="13"/>
  <c r="L232" i="13"/>
  <c r="M232" i="13"/>
  <c r="P232" i="13"/>
  <c r="U232" i="13"/>
  <c r="R232" i="13" s="1"/>
  <c r="V232" i="13"/>
  <c r="I233" i="13"/>
  <c r="J233" i="13"/>
  <c r="K233" i="13"/>
  <c r="L233" i="13"/>
  <c r="M233" i="13"/>
  <c r="P233" i="13"/>
  <c r="U233" i="13"/>
  <c r="R233" i="13"/>
  <c r="V233" i="13"/>
  <c r="W233" i="13" s="1"/>
  <c r="I234" i="13"/>
  <c r="J234" i="13"/>
  <c r="K234" i="13"/>
  <c r="L234" i="13"/>
  <c r="M234" i="13"/>
  <c r="P234" i="13"/>
  <c r="U234" i="13"/>
  <c r="T234" i="13" s="1"/>
  <c r="R234" i="13"/>
  <c r="I235" i="13"/>
  <c r="J235" i="13"/>
  <c r="K235" i="13"/>
  <c r="L235" i="13"/>
  <c r="M235" i="13"/>
  <c r="P235" i="13"/>
  <c r="R235" i="13"/>
  <c r="S235" i="13"/>
  <c r="T235" i="13"/>
  <c r="U235" i="13"/>
  <c r="I236" i="13"/>
  <c r="J236" i="13"/>
  <c r="K236" i="13"/>
  <c r="L236" i="13"/>
  <c r="M236" i="13"/>
  <c r="P236" i="13"/>
  <c r="U236" i="13"/>
  <c r="R236" i="13" s="1"/>
  <c r="I237" i="13"/>
  <c r="J237" i="13"/>
  <c r="K237" i="13"/>
  <c r="L237" i="13"/>
  <c r="M237" i="13"/>
  <c r="P237" i="13"/>
  <c r="U237" i="13"/>
  <c r="I238" i="13"/>
  <c r="J238" i="13"/>
  <c r="K238" i="13"/>
  <c r="L238" i="13"/>
  <c r="M238" i="13"/>
  <c r="P238" i="13"/>
  <c r="U238" i="13"/>
  <c r="W238" i="13" s="1"/>
  <c r="R238" i="13"/>
  <c r="V238" i="13"/>
  <c r="I239" i="13"/>
  <c r="J239" i="13"/>
  <c r="K239" i="13"/>
  <c r="L239" i="13"/>
  <c r="M239" i="13"/>
  <c r="P239" i="13"/>
  <c r="U239" i="13"/>
  <c r="V239" i="13"/>
  <c r="I240" i="13"/>
  <c r="J240" i="13"/>
  <c r="K240" i="13"/>
  <c r="L240" i="13"/>
  <c r="M240" i="13"/>
  <c r="P240" i="13"/>
  <c r="U240" i="13"/>
  <c r="R240" i="13" s="1"/>
  <c r="I241" i="13"/>
  <c r="J241" i="13"/>
  <c r="K241" i="13"/>
  <c r="L241" i="13"/>
  <c r="M241" i="13"/>
  <c r="P241" i="13"/>
  <c r="U241" i="13"/>
  <c r="I242" i="13"/>
  <c r="J242" i="13"/>
  <c r="K242" i="13"/>
  <c r="L242" i="13"/>
  <c r="M242" i="13"/>
  <c r="P242" i="13"/>
  <c r="U242" i="13"/>
  <c r="T242" i="13" s="1"/>
  <c r="R242" i="13"/>
  <c r="I243" i="13"/>
  <c r="J243" i="13"/>
  <c r="K243" i="13"/>
  <c r="L243" i="13"/>
  <c r="M243" i="13"/>
  <c r="P243" i="13"/>
  <c r="R243" i="13"/>
  <c r="S243" i="13"/>
  <c r="T243" i="13"/>
  <c r="U243" i="13"/>
  <c r="I244" i="13"/>
  <c r="J244" i="13"/>
  <c r="K244" i="13"/>
  <c r="L244" i="13"/>
  <c r="M244" i="13"/>
  <c r="P244" i="13"/>
  <c r="U244" i="13"/>
  <c r="R244" i="13" s="1"/>
  <c r="I245" i="13"/>
  <c r="J245" i="13"/>
  <c r="K245" i="13"/>
  <c r="L245" i="13"/>
  <c r="M245" i="13"/>
  <c r="P245" i="13"/>
  <c r="U245" i="13"/>
  <c r="V245" i="13"/>
  <c r="I246" i="13"/>
  <c r="J246" i="13"/>
  <c r="K246" i="13"/>
  <c r="L246" i="13"/>
  <c r="M246" i="13"/>
  <c r="P246" i="13"/>
  <c r="U246" i="13"/>
  <c r="V246" i="13"/>
  <c r="I247" i="13"/>
  <c r="J247" i="13"/>
  <c r="K247" i="13"/>
  <c r="L247" i="13"/>
  <c r="M247" i="13"/>
  <c r="P247" i="13"/>
  <c r="U247" i="13"/>
  <c r="V247" i="13"/>
  <c r="I248" i="13"/>
  <c r="J248" i="13"/>
  <c r="K248" i="13"/>
  <c r="L248" i="13"/>
  <c r="M248" i="13"/>
  <c r="P248" i="13"/>
  <c r="U248" i="13"/>
  <c r="V248" i="13"/>
  <c r="I249" i="13"/>
  <c r="J249" i="13"/>
  <c r="K249" i="13"/>
  <c r="L249" i="13"/>
  <c r="M249" i="13"/>
  <c r="P249" i="13"/>
  <c r="U249" i="13"/>
  <c r="V249" i="13"/>
  <c r="K250" i="13"/>
  <c r="L250" i="13"/>
  <c r="M250" i="13"/>
  <c r="P250" i="13"/>
  <c r="U250" i="13"/>
  <c r="W250" i="13" s="1"/>
  <c r="R250" i="13"/>
  <c r="V250" i="13"/>
  <c r="I251" i="13"/>
  <c r="J251" i="13"/>
  <c r="K251" i="13"/>
  <c r="L251" i="13"/>
  <c r="M251" i="13"/>
  <c r="P251" i="13"/>
  <c r="U251" i="13"/>
  <c r="V251" i="13"/>
  <c r="I252" i="13"/>
  <c r="J252" i="13"/>
  <c r="K252" i="13"/>
  <c r="L252" i="13"/>
  <c r="M252" i="13"/>
  <c r="P252" i="13"/>
  <c r="U252" i="13"/>
  <c r="R252" i="13" s="1"/>
  <c r="V252" i="13"/>
  <c r="W252" i="13" s="1"/>
  <c r="I253" i="13"/>
  <c r="J253" i="13"/>
  <c r="K253" i="13"/>
  <c r="L253" i="13"/>
  <c r="M253" i="13"/>
  <c r="P253" i="13"/>
  <c r="U253" i="13"/>
  <c r="R253" i="13"/>
  <c r="V253" i="13"/>
  <c r="W253" i="13" s="1"/>
  <c r="I254" i="13"/>
  <c r="J254" i="13"/>
  <c r="K254" i="13"/>
  <c r="L254" i="13"/>
  <c r="M254" i="13"/>
  <c r="P254" i="13"/>
  <c r="U254" i="13"/>
  <c r="W254" i="13" s="1"/>
  <c r="R254" i="13"/>
  <c r="V254" i="13"/>
  <c r="I255" i="13"/>
  <c r="J255" i="13"/>
  <c r="K255" i="13"/>
  <c r="L255" i="13"/>
  <c r="M255" i="13"/>
  <c r="P255" i="13"/>
  <c r="U255" i="13"/>
  <c r="V255" i="13"/>
  <c r="I256" i="13"/>
  <c r="J256" i="13"/>
  <c r="K256" i="13"/>
  <c r="L256" i="13"/>
  <c r="M256" i="13"/>
  <c r="P256" i="13"/>
  <c r="U256" i="13"/>
  <c r="R256" i="13" s="1"/>
  <c r="V256" i="13"/>
  <c r="I257" i="13"/>
  <c r="J257" i="13"/>
  <c r="K257" i="13"/>
  <c r="L257" i="13"/>
  <c r="M257" i="13"/>
  <c r="P257" i="13"/>
  <c r="U257" i="13"/>
  <c r="R257" i="13"/>
  <c r="V257" i="13"/>
  <c r="W257" i="13" s="1"/>
  <c r="I258" i="13"/>
  <c r="J258" i="13"/>
  <c r="K258" i="13"/>
  <c r="L258" i="13"/>
  <c r="M258" i="13"/>
  <c r="P258" i="13"/>
  <c r="U258" i="13"/>
  <c r="W258" i="13" s="1"/>
  <c r="R258" i="13"/>
  <c r="V258" i="13"/>
  <c r="I259" i="13"/>
  <c r="J259" i="13"/>
  <c r="K259" i="13"/>
  <c r="L259" i="13"/>
  <c r="M259" i="13"/>
  <c r="P259" i="13"/>
  <c r="U259" i="13"/>
  <c r="V259" i="13"/>
  <c r="I260" i="13"/>
  <c r="J260" i="13"/>
  <c r="K260" i="13"/>
  <c r="L260" i="13"/>
  <c r="M260" i="13"/>
  <c r="P260" i="13"/>
  <c r="U260" i="13"/>
  <c r="R260" i="13" s="1"/>
  <c r="V260" i="13"/>
  <c r="I261" i="13"/>
  <c r="J261" i="13"/>
  <c r="K261" i="13"/>
  <c r="L261" i="13"/>
  <c r="M261" i="13"/>
  <c r="P261" i="13"/>
  <c r="U261" i="13"/>
  <c r="R261" i="13"/>
  <c r="V261" i="13"/>
  <c r="I262" i="13"/>
  <c r="J262" i="13"/>
  <c r="K262" i="13"/>
  <c r="L262" i="13"/>
  <c r="M262" i="13"/>
  <c r="P262" i="13"/>
  <c r="U262" i="13"/>
  <c r="W262" i="13" s="1"/>
  <c r="R262" i="13"/>
  <c r="V262" i="13"/>
  <c r="I263" i="13"/>
  <c r="J263" i="13"/>
  <c r="K263" i="13"/>
  <c r="L263" i="13"/>
  <c r="M263" i="13"/>
  <c r="P263" i="13"/>
  <c r="U263" i="13"/>
  <c r="V263" i="13"/>
  <c r="I264" i="13"/>
  <c r="J264" i="13"/>
  <c r="K264" i="13"/>
  <c r="L264" i="13"/>
  <c r="M264" i="13"/>
  <c r="P264" i="13"/>
  <c r="U264" i="13"/>
  <c r="R264" i="13" s="1"/>
  <c r="V264" i="13"/>
  <c r="I265" i="13"/>
  <c r="J265" i="13"/>
  <c r="K265" i="13"/>
  <c r="L265" i="13"/>
  <c r="M265" i="13"/>
  <c r="P265" i="13"/>
  <c r="U265" i="13"/>
  <c r="R265" i="13"/>
  <c r="V265" i="13"/>
  <c r="K266" i="13"/>
  <c r="L266" i="13"/>
  <c r="M266" i="13"/>
  <c r="P266" i="13"/>
  <c r="U266" i="13"/>
  <c r="V266" i="13"/>
  <c r="I267" i="13"/>
  <c r="J267" i="13"/>
  <c r="K267" i="13"/>
  <c r="L267" i="13"/>
  <c r="M267" i="13"/>
  <c r="P267" i="13"/>
  <c r="U267" i="13"/>
  <c r="V267" i="13"/>
  <c r="I268" i="13"/>
  <c r="J268" i="13"/>
  <c r="K268" i="13"/>
  <c r="L268" i="13"/>
  <c r="M268" i="13"/>
  <c r="P268" i="13"/>
  <c r="U268" i="13"/>
  <c r="V268" i="13"/>
  <c r="K269" i="13"/>
  <c r="L269" i="13"/>
  <c r="M269" i="13"/>
  <c r="P269" i="13"/>
  <c r="U269" i="13"/>
  <c r="W269" i="13" s="1"/>
  <c r="R269" i="13"/>
  <c r="V269" i="13"/>
  <c r="I270" i="13"/>
  <c r="J270" i="13"/>
  <c r="K270" i="13"/>
  <c r="L270" i="13"/>
  <c r="M270" i="13"/>
  <c r="P270" i="13"/>
  <c r="U270" i="13"/>
  <c r="V270" i="13"/>
  <c r="Q154" i="17"/>
  <c r="X154" i="17"/>
  <c r="S154" i="17"/>
  <c r="Q146" i="17"/>
  <c r="S120" i="17"/>
  <c r="S118" i="17"/>
  <c r="Q118" i="17"/>
  <c r="X118" i="17"/>
  <c r="S110" i="17"/>
  <c r="X110" i="17"/>
  <c r="Q110" i="17"/>
  <c r="Q84" i="17"/>
  <c r="X84" i="17"/>
  <c r="S84" i="17"/>
  <c r="S73" i="17"/>
  <c r="X73" i="17"/>
  <c r="Q73" i="17"/>
  <c r="S40" i="17"/>
  <c r="Q40" i="17"/>
  <c r="X40" i="17"/>
  <c r="S32" i="17"/>
  <c r="R32" i="17"/>
  <c r="X32" i="17"/>
  <c r="R20" i="17"/>
  <c r="R19" i="17"/>
  <c r="Z19" i="17"/>
  <c r="X19" i="17"/>
  <c r="S19" i="17"/>
  <c r="R18" i="17"/>
  <c r="Z18" i="17"/>
  <c r="S18" i="17"/>
  <c r="X18" i="17"/>
  <c r="R4" i="17"/>
  <c r="Z4" i="17"/>
  <c r="X4" i="17"/>
  <c r="S4" i="17"/>
  <c r="H169" i="18"/>
  <c r="K169" i="18" s="1"/>
  <c r="G169" i="18"/>
  <c r="E169" i="18"/>
  <c r="H156" i="18"/>
  <c r="K156" i="18" s="1"/>
  <c r="G156" i="18"/>
  <c r="E156" i="18"/>
  <c r="F156" i="18"/>
  <c r="H140" i="18"/>
  <c r="K140" i="18" s="1"/>
  <c r="G140" i="18"/>
  <c r="E140" i="18"/>
  <c r="F140" i="18"/>
  <c r="F121" i="18"/>
  <c r="G121" i="18"/>
  <c r="H121" i="18"/>
  <c r="K121" i="18" s="1"/>
  <c r="E121" i="18"/>
  <c r="G106" i="18"/>
  <c r="H106" i="18"/>
  <c r="K106" i="18" s="1"/>
  <c r="F106" i="18"/>
  <c r="E106" i="18"/>
  <c r="G86" i="18"/>
  <c r="H86" i="18"/>
  <c r="K86" i="18" s="1"/>
  <c r="F86" i="18"/>
  <c r="E86" i="18"/>
  <c r="G74" i="18"/>
  <c r="H74" i="18"/>
  <c r="K74" i="18"/>
  <c r="F74" i="18"/>
  <c r="E74" i="18"/>
  <c r="E193" i="20"/>
  <c r="F193" i="20"/>
  <c r="K193" i="20"/>
  <c r="G193" i="20"/>
  <c r="G188" i="20"/>
  <c r="E188" i="20"/>
  <c r="K188" i="20"/>
  <c r="F188" i="20"/>
  <c r="E185" i="20"/>
  <c r="F185" i="20"/>
  <c r="K185" i="20"/>
  <c r="G185" i="20"/>
  <c r="G180" i="20"/>
  <c r="E180" i="20"/>
  <c r="K180" i="20"/>
  <c r="F180" i="20"/>
  <c r="E177" i="20"/>
  <c r="F177" i="20"/>
  <c r="K177" i="20"/>
  <c r="G177" i="20"/>
  <c r="G172" i="20"/>
  <c r="E172" i="20"/>
  <c r="K172" i="20"/>
  <c r="F172" i="20"/>
  <c r="E169" i="20"/>
  <c r="F169" i="20"/>
  <c r="K169" i="20"/>
  <c r="G169" i="20"/>
  <c r="F154" i="20"/>
  <c r="K154" i="20"/>
  <c r="E154" i="20"/>
  <c r="G154" i="20"/>
  <c r="F136" i="20"/>
  <c r="K136" i="20"/>
  <c r="E136" i="20"/>
  <c r="G136" i="20"/>
  <c r="G129" i="20"/>
  <c r="K129" i="20"/>
  <c r="E129" i="20"/>
  <c r="F129" i="20"/>
  <c r="F126" i="20"/>
  <c r="G126" i="20"/>
  <c r="E126" i="20"/>
  <c r="K126" i="20"/>
  <c r="F119" i="20"/>
  <c r="K119" i="20"/>
  <c r="E119" i="20"/>
  <c r="G119" i="20"/>
  <c r="E106" i="20"/>
  <c r="K106" i="20"/>
  <c r="F106" i="20"/>
  <c r="G106" i="20"/>
  <c r="G86" i="20"/>
  <c r="K86" i="20"/>
  <c r="E86" i="20"/>
  <c r="F86" i="20"/>
  <c r="F75" i="20"/>
  <c r="K75" i="20"/>
  <c r="E75" i="20"/>
  <c r="G75" i="20"/>
  <c r="F73" i="20"/>
  <c r="K73" i="20"/>
  <c r="E73" i="20"/>
  <c r="G73" i="20"/>
  <c r="F49" i="20"/>
  <c r="K49" i="20"/>
  <c r="E49" i="20"/>
  <c r="G49" i="20"/>
  <c r="F46" i="20"/>
  <c r="G46" i="20"/>
  <c r="K46" i="20"/>
  <c r="E46" i="20"/>
  <c r="K22" i="20"/>
  <c r="E22" i="20"/>
  <c r="G209" i="22"/>
  <c r="E209" i="22"/>
  <c r="F209" i="22"/>
  <c r="K209" i="22"/>
  <c r="G201" i="22"/>
  <c r="E201" i="22"/>
  <c r="F201" i="22"/>
  <c r="K201" i="22"/>
  <c r="E173" i="22"/>
  <c r="K173" i="22"/>
  <c r="F173" i="22"/>
  <c r="G173" i="22"/>
  <c r="F150" i="22"/>
  <c r="K150" i="22"/>
  <c r="G150" i="22"/>
  <c r="E150" i="22"/>
  <c r="E125" i="22"/>
  <c r="G125" i="22"/>
  <c r="K125" i="22"/>
  <c r="F125" i="22"/>
  <c r="G110" i="22"/>
  <c r="E110" i="22"/>
  <c r="K110" i="22"/>
  <c r="F110" i="22"/>
  <c r="E93" i="22"/>
  <c r="G93" i="22"/>
  <c r="K93" i="22"/>
  <c r="F93" i="22"/>
  <c r="G76" i="22"/>
  <c r="K76" i="22"/>
  <c r="E76" i="22"/>
  <c r="F76" i="22"/>
  <c r="T168" i="15"/>
  <c r="S165" i="15"/>
  <c r="T162" i="15"/>
  <c r="W160" i="15"/>
  <c r="T154" i="15"/>
  <c r="S152" i="15"/>
  <c r="T146" i="15"/>
  <c r="S144" i="15"/>
  <c r="T139" i="15"/>
  <c r="T136" i="15"/>
  <c r="W134" i="15"/>
  <c r="S134" i="15"/>
  <c r="T131" i="15"/>
  <c r="W118" i="15"/>
  <c r="S118" i="15"/>
  <c r="W117" i="15"/>
  <c r="S117" i="15"/>
  <c r="S112" i="15"/>
  <c r="T104" i="15"/>
  <c r="T102" i="15"/>
  <c r="T101" i="15"/>
  <c r="T93" i="15"/>
  <c r="T80" i="15"/>
  <c r="T79" i="15"/>
  <c r="T77" i="15"/>
  <c r="W75" i="15"/>
  <c r="S75" i="15"/>
  <c r="S74" i="15"/>
  <c r="S73" i="15"/>
  <c r="W72" i="15"/>
  <c r="S72" i="15"/>
  <c r="W71" i="15"/>
  <c r="S71" i="15"/>
  <c r="W70" i="15"/>
  <c r="S70" i="15"/>
  <c r="W69" i="15"/>
  <c r="S69" i="15"/>
  <c r="T66" i="15"/>
  <c r="T64" i="15"/>
  <c r="T62" i="15"/>
  <c r="T61" i="15"/>
  <c r="T60" i="15"/>
  <c r="T59" i="15"/>
  <c r="T58" i="15"/>
  <c r="T57" i="15"/>
  <c r="T56" i="15"/>
  <c r="T54" i="15"/>
  <c r="T52" i="15"/>
  <c r="T44" i="15"/>
  <c r="W42" i="15"/>
  <c r="S42" i="15"/>
  <c r="T36" i="15"/>
  <c r="S34" i="15"/>
  <c r="W25" i="15"/>
  <c r="S25" i="15"/>
  <c r="S11" i="15"/>
  <c r="S6" i="15"/>
  <c r="Y168" i="16"/>
  <c r="T168" i="16"/>
  <c r="R162" i="16"/>
  <c r="Y158" i="16"/>
  <c r="T158" i="16"/>
  <c r="R154" i="16"/>
  <c r="T150" i="16"/>
  <c r="Y146" i="16"/>
  <c r="R146" i="16"/>
  <c r="Y141" i="16"/>
  <c r="T141" i="16"/>
  <c r="T136" i="16"/>
  <c r="Y132" i="16"/>
  <c r="R132" i="16"/>
  <c r="T130" i="16"/>
  <c r="R117" i="16"/>
  <c r="Y112" i="16"/>
  <c r="R112" i="16"/>
  <c r="Y109" i="16"/>
  <c r="T109" i="16"/>
  <c r="R107" i="16"/>
  <c r="Y105" i="16"/>
  <c r="T105" i="16"/>
  <c r="Y103" i="16"/>
  <c r="T103" i="16"/>
  <c r="Y93" i="16"/>
  <c r="R93" i="16"/>
  <c r="Y82" i="16"/>
  <c r="R82" i="16"/>
  <c r="Y79" i="16"/>
  <c r="T79" i="16"/>
  <c r="Y77" i="16"/>
  <c r="R77" i="16"/>
  <c r="Y73" i="16"/>
  <c r="T73" i="16"/>
  <c r="R71" i="16"/>
  <c r="Y69" i="16"/>
  <c r="T69" i="16"/>
  <c r="T66" i="16"/>
  <c r="Y64" i="16"/>
  <c r="R64" i="16"/>
  <c r="T62" i="16"/>
  <c r="R60" i="16"/>
  <c r="Y58" i="16"/>
  <c r="T58" i="16"/>
  <c r="R56" i="16"/>
  <c r="Y48" i="16"/>
  <c r="T48" i="16"/>
  <c r="T44" i="16"/>
  <c r="Y44" i="16"/>
  <c r="R40" i="16"/>
  <c r="Y40" i="16"/>
  <c r="R32" i="16"/>
  <c r="Y32" i="16"/>
  <c r="T13" i="16"/>
  <c r="Y13" i="16"/>
  <c r="S11" i="16"/>
  <c r="S167" i="17"/>
  <c r="Q167" i="17"/>
  <c r="X167" i="17"/>
  <c r="R154" i="17"/>
  <c r="S150" i="17"/>
  <c r="Q150" i="17"/>
  <c r="X150" i="17"/>
  <c r="S138" i="17"/>
  <c r="Q138" i="17"/>
  <c r="X138" i="17"/>
  <c r="R120" i="17"/>
  <c r="R118" i="17"/>
  <c r="Q111" i="17"/>
  <c r="S111" i="17"/>
  <c r="X111" i="17"/>
  <c r="Z110" i="17"/>
  <c r="R110" i="17"/>
  <c r="Q103" i="17"/>
  <c r="S103" i="17"/>
  <c r="X103" i="17"/>
  <c r="R84" i="17"/>
  <c r="Q74" i="17"/>
  <c r="S74" i="17"/>
  <c r="X74" i="17"/>
  <c r="Z73" i="17"/>
  <c r="R73" i="17"/>
  <c r="R40" i="17"/>
  <c r="Q32" i="17"/>
  <c r="Q19" i="17"/>
  <c r="Q18" i="17"/>
  <c r="R12" i="17"/>
  <c r="V12" i="17"/>
  <c r="S12" i="17"/>
  <c r="Z12" i="17"/>
  <c r="R11" i="17"/>
  <c r="Z11" i="17"/>
  <c r="S11" i="17"/>
  <c r="X11" i="17"/>
  <c r="Q4" i="17"/>
  <c r="F169" i="18"/>
  <c r="F164" i="18"/>
  <c r="E164" i="18"/>
  <c r="H164" i="18"/>
  <c r="K164" i="18" s="1"/>
  <c r="F155" i="18"/>
  <c r="H155" i="18"/>
  <c r="K155" i="18" s="1"/>
  <c r="E155" i="18"/>
  <c r="G155" i="18"/>
  <c r="F139" i="18"/>
  <c r="E139" i="18"/>
  <c r="G139" i="18"/>
  <c r="F117" i="18"/>
  <c r="G117" i="18"/>
  <c r="H117" i="18"/>
  <c r="K117" i="18"/>
  <c r="E117" i="18"/>
  <c r="T269" i="13"/>
  <c r="T265" i="13"/>
  <c r="T264" i="13"/>
  <c r="T262" i="13"/>
  <c r="T261" i="13"/>
  <c r="T260" i="13"/>
  <c r="T258" i="13"/>
  <c r="T257" i="13"/>
  <c r="T256" i="13"/>
  <c r="T254" i="13"/>
  <c r="T253" i="13"/>
  <c r="T252" i="13"/>
  <c r="T250" i="13"/>
  <c r="T244" i="13"/>
  <c r="T238" i="13"/>
  <c r="T236" i="13"/>
  <c r="T233" i="13"/>
  <c r="T232" i="13"/>
  <c r="T229" i="13"/>
  <c r="T228" i="13"/>
  <c r="T225" i="13"/>
  <c r="T224" i="13"/>
  <c r="T220" i="13"/>
  <c r="T218" i="13"/>
  <c r="T216" i="13"/>
  <c r="T212" i="13"/>
  <c r="T210" i="13"/>
  <c r="T209" i="13"/>
  <c r="T208" i="13"/>
  <c r="T204" i="13"/>
  <c r="T202" i="13"/>
  <c r="T199" i="13"/>
  <c r="T198" i="13"/>
  <c r="T197" i="13"/>
  <c r="T195" i="13"/>
  <c r="T194" i="13"/>
  <c r="T192" i="13"/>
  <c r="T190" i="13"/>
  <c r="T186" i="13"/>
  <c r="T184" i="13"/>
  <c r="T182" i="13"/>
  <c r="T179" i="13"/>
  <c r="T178" i="13"/>
  <c r="T174" i="13"/>
  <c r="T172" i="13"/>
  <c r="T171" i="13"/>
  <c r="T170" i="13"/>
  <c r="T168" i="13"/>
  <c r="T161" i="13"/>
  <c r="T158" i="13"/>
  <c r="T156" i="13"/>
  <c r="T154" i="13"/>
  <c r="T153" i="13"/>
  <c r="T151" i="13"/>
  <c r="T150" i="13"/>
  <c r="T149" i="13"/>
  <c r="T147" i="13"/>
  <c r="T145" i="13"/>
  <c r="T141" i="13"/>
  <c r="T137" i="13"/>
  <c r="T135" i="13"/>
  <c r="T133" i="13"/>
  <c r="T132" i="13"/>
  <c r="T131" i="13"/>
  <c r="T128" i="13"/>
  <c r="T126" i="13"/>
  <c r="T122" i="13"/>
  <c r="T117" i="13"/>
  <c r="T101" i="13"/>
  <c r="T97" i="13"/>
  <c r="T93" i="13"/>
  <c r="T83" i="13"/>
  <c r="T71" i="13"/>
  <c r="T69" i="13"/>
  <c r="T65" i="13"/>
  <c r="T61" i="13"/>
  <c r="T58" i="13"/>
  <c r="T56" i="13"/>
  <c r="T50" i="13"/>
  <c r="T48" i="13"/>
  <c r="T46" i="13"/>
  <c r="T36" i="13"/>
  <c r="T14" i="13"/>
  <c r="T13" i="13"/>
  <c r="T12" i="13"/>
  <c r="T10" i="13"/>
  <c r="T8" i="13"/>
  <c r="T6" i="13"/>
  <c r="S269" i="13"/>
  <c r="W265" i="13"/>
  <c r="S265" i="13"/>
  <c r="S264" i="13"/>
  <c r="S262" i="13"/>
  <c r="W261" i="13"/>
  <c r="S261" i="13"/>
  <c r="S260" i="13"/>
  <c r="W259" i="13"/>
  <c r="S258" i="13"/>
  <c r="S257" i="13"/>
  <c r="S256" i="13"/>
  <c r="W255" i="13"/>
  <c r="S254" i="13"/>
  <c r="S253" i="13"/>
  <c r="S252" i="13"/>
  <c r="S250" i="13"/>
  <c r="S244" i="13"/>
  <c r="S240" i="13"/>
  <c r="S236" i="13"/>
  <c r="S234" i="13"/>
  <c r="S233" i="13"/>
  <c r="W232" i="13"/>
  <c r="S232" i="13"/>
  <c r="W230" i="13"/>
  <c r="S230" i="13"/>
  <c r="S229" i="13"/>
  <c r="W228" i="13"/>
  <c r="S228" i="13"/>
  <c r="W226" i="13"/>
  <c r="S226" i="13"/>
  <c r="S225" i="13"/>
  <c r="W224" i="13"/>
  <c r="S224" i="13"/>
  <c r="S220" i="13"/>
  <c r="S218" i="13"/>
  <c r="S216" i="13"/>
  <c r="S212" i="13"/>
  <c r="S209" i="13"/>
  <c r="S208" i="13"/>
  <c r="S204" i="13"/>
  <c r="S202" i="13"/>
  <c r="S199" i="13"/>
  <c r="W198" i="13"/>
  <c r="S198" i="13"/>
  <c r="W196" i="13"/>
  <c r="S195" i="13"/>
  <c r="W194" i="13"/>
  <c r="S194" i="13"/>
  <c r="S190" i="13"/>
  <c r="S188" i="13"/>
  <c r="S186" i="13"/>
  <c r="S182" i="13"/>
  <c r="S180" i="13"/>
  <c r="S179" i="13"/>
  <c r="W178" i="13"/>
  <c r="S178" i="13"/>
  <c r="W176" i="13"/>
  <c r="S176" i="13"/>
  <c r="S174" i="13"/>
  <c r="S171" i="13"/>
  <c r="S170" i="13"/>
  <c r="S168" i="13"/>
  <c r="S161" i="13"/>
  <c r="W159" i="13"/>
  <c r="S159" i="13"/>
  <c r="S158" i="13"/>
  <c r="S154" i="13"/>
  <c r="S153" i="13"/>
  <c r="S150" i="13"/>
  <c r="S149" i="13"/>
  <c r="S147" i="13"/>
  <c r="S145" i="13"/>
  <c r="W143" i="13"/>
  <c r="S143" i="13"/>
  <c r="S141" i="13"/>
  <c r="S135" i="13"/>
  <c r="S133" i="13"/>
  <c r="W132" i="13"/>
  <c r="S132" i="13"/>
  <c r="S131" i="13"/>
  <c r="W130" i="13"/>
  <c r="S128" i="13"/>
  <c r="S122" i="13"/>
  <c r="S117" i="13"/>
  <c r="S101" i="13"/>
  <c r="S97" i="13"/>
  <c r="S93" i="13"/>
  <c r="S83" i="13"/>
  <c r="S69" i="13"/>
  <c r="S65" i="13"/>
  <c r="S61" i="13"/>
  <c r="S58" i="13"/>
  <c r="S56" i="13"/>
  <c r="S50" i="13"/>
  <c r="S49" i="13"/>
  <c r="S48" i="13"/>
  <c r="S46" i="13"/>
  <c r="S44" i="13"/>
  <c r="S36" i="13"/>
  <c r="S14" i="13"/>
  <c r="W13" i="13"/>
  <c r="S13" i="13"/>
  <c r="W12" i="13"/>
  <c r="S12" i="13"/>
  <c r="S10" i="13"/>
  <c r="S8" i="13"/>
  <c r="S6" i="13"/>
  <c r="S168" i="15"/>
  <c r="W162" i="15"/>
  <c r="S162" i="15"/>
  <c r="W154" i="15"/>
  <c r="S154" i="15"/>
  <c r="S146" i="15"/>
  <c r="W139" i="15"/>
  <c r="S139" i="15"/>
  <c r="S136" i="15"/>
  <c r="S131" i="15"/>
  <c r="S104" i="15"/>
  <c r="W102" i="15"/>
  <c r="S102" i="15"/>
  <c r="W101" i="15"/>
  <c r="S101" i="15"/>
  <c r="S93" i="15"/>
  <c r="S80" i="15"/>
  <c r="W79" i="15"/>
  <c r="S79" i="15"/>
  <c r="S77" i="15"/>
  <c r="S66" i="15"/>
  <c r="S64" i="15"/>
  <c r="S62" i="15"/>
  <c r="W61" i="15"/>
  <c r="S61" i="15"/>
  <c r="W60" i="15"/>
  <c r="S60" i="15"/>
  <c r="W58" i="15"/>
  <c r="S58" i="15"/>
  <c r="S57" i="15"/>
  <c r="W56" i="15"/>
  <c r="S56" i="15"/>
  <c r="S54" i="15"/>
  <c r="S52" i="15"/>
  <c r="W44" i="15"/>
  <c r="S44" i="15"/>
  <c r="S36" i="15"/>
  <c r="W168" i="16"/>
  <c r="S168" i="16"/>
  <c r="W158" i="16"/>
  <c r="S158" i="16"/>
  <c r="S150" i="16"/>
  <c r="W141" i="16"/>
  <c r="S141" i="16"/>
  <c r="S136" i="16"/>
  <c r="S130" i="16"/>
  <c r="W109" i="16"/>
  <c r="S109" i="16"/>
  <c r="S105" i="16"/>
  <c r="W103" i="16"/>
  <c r="S103" i="16"/>
  <c r="W79" i="16"/>
  <c r="S79" i="16"/>
  <c r="W73" i="16"/>
  <c r="S73" i="16"/>
  <c r="W69" i="16"/>
  <c r="S69" i="16"/>
  <c r="S66" i="16"/>
  <c r="S62" i="16"/>
  <c r="W58" i="16"/>
  <c r="S58" i="16"/>
  <c r="R54" i="16"/>
  <c r="Y54" i="16"/>
  <c r="W48" i="16"/>
  <c r="S48" i="16"/>
  <c r="S46" i="16"/>
  <c r="W46" i="16"/>
  <c r="T22" i="16"/>
  <c r="Y22" i="16"/>
  <c r="T17" i="16"/>
  <c r="Y17" i="16"/>
  <c r="S14" i="16"/>
  <c r="W14" i="16"/>
  <c r="R11" i="16"/>
  <c r="Q166" i="17"/>
  <c r="X166" i="17"/>
  <c r="S112" i="17"/>
  <c r="Q112" i="17"/>
  <c r="X112" i="17"/>
  <c r="V110" i="17"/>
  <c r="S108" i="17"/>
  <c r="X108" i="17"/>
  <c r="Q108" i="17"/>
  <c r="Q102" i="17"/>
  <c r="X102" i="17"/>
  <c r="S102" i="17"/>
  <c r="Q80" i="17"/>
  <c r="X80" i="17"/>
  <c r="S80" i="17"/>
  <c r="S75" i="17"/>
  <c r="X75" i="17"/>
  <c r="Q75" i="17"/>
  <c r="V73" i="17"/>
  <c r="S71" i="17"/>
  <c r="X71" i="17"/>
  <c r="Q71" i="17"/>
  <c r="R14" i="17"/>
  <c r="V14" i="17"/>
  <c r="S14" i="17"/>
  <c r="Z14" i="17"/>
  <c r="F168" i="18"/>
  <c r="H168" i="18"/>
  <c r="K168" i="18" s="1"/>
  <c r="E168" i="18"/>
  <c r="H148" i="18"/>
  <c r="K148" i="18"/>
  <c r="G148" i="18"/>
  <c r="E148" i="18"/>
  <c r="F148" i="18"/>
  <c r="F113" i="18"/>
  <c r="G113" i="18"/>
  <c r="H113" i="18"/>
  <c r="K113" i="18" s="1"/>
  <c r="E113" i="18"/>
  <c r="G102" i="18"/>
  <c r="H102" i="18"/>
  <c r="K102" i="18" s="1"/>
  <c r="F102" i="18"/>
  <c r="E102" i="18"/>
  <c r="G90" i="18"/>
  <c r="H90" i="18"/>
  <c r="K90" i="18"/>
  <c r="F90" i="18"/>
  <c r="E90" i="18"/>
  <c r="G70" i="18"/>
  <c r="H70" i="18"/>
  <c r="K70" i="18"/>
  <c r="F70" i="18"/>
  <c r="E70" i="18"/>
  <c r="F152" i="20"/>
  <c r="K152" i="20"/>
  <c r="E145" i="20"/>
  <c r="K145" i="20"/>
  <c r="F145" i="20"/>
  <c r="G145" i="20"/>
  <c r="F138" i="20"/>
  <c r="K138" i="20"/>
  <c r="E138" i="20"/>
  <c r="G138" i="20"/>
  <c r="F117" i="20"/>
  <c r="K117" i="20"/>
  <c r="G117" i="20"/>
  <c r="E117" i="20"/>
  <c r="G110" i="20"/>
  <c r="E110" i="20"/>
  <c r="F96" i="20"/>
  <c r="K96" i="20"/>
  <c r="E96" i="20"/>
  <c r="G96" i="20"/>
  <c r="F55" i="20"/>
  <c r="K55" i="20"/>
  <c r="E55" i="20"/>
  <c r="G55" i="20"/>
  <c r="F16" i="20"/>
  <c r="K16" i="20"/>
  <c r="E16" i="20"/>
  <c r="G16" i="20"/>
  <c r="F13" i="20"/>
  <c r="G13" i="20"/>
  <c r="K13" i="20"/>
  <c r="E13" i="20"/>
  <c r="F160" i="22"/>
  <c r="K160" i="22"/>
  <c r="E160" i="22"/>
  <c r="G160" i="22"/>
  <c r="G126" i="22"/>
  <c r="E126" i="22"/>
  <c r="K126" i="22"/>
  <c r="F126" i="22"/>
  <c r="E109" i="22"/>
  <c r="G109" i="22"/>
  <c r="G94" i="22"/>
  <c r="E94" i="22"/>
  <c r="K94" i="22"/>
  <c r="F94" i="22"/>
  <c r="E75" i="22"/>
  <c r="F75" i="22"/>
  <c r="K75" i="22"/>
  <c r="G75" i="22"/>
  <c r="Y162" i="16"/>
  <c r="W156" i="16"/>
  <c r="Y154" i="16"/>
  <c r="Y150" i="16"/>
  <c r="W139" i="16"/>
  <c r="Y136" i="16"/>
  <c r="W134" i="16"/>
  <c r="Y130" i="16"/>
  <c r="W118" i="16"/>
  <c r="Y117" i="16"/>
  <c r="W108" i="16"/>
  <c r="W102" i="16"/>
  <c r="Y101" i="16"/>
  <c r="W91" i="16"/>
  <c r="W72" i="16"/>
  <c r="Y71" i="16"/>
  <c r="Y66" i="16"/>
  <c r="Y62" i="16"/>
  <c r="Y60" i="16"/>
  <c r="W57" i="16"/>
  <c r="Y56" i="16"/>
  <c r="R55" i="16"/>
  <c r="T54" i="16"/>
  <c r="T46" i="16"/>
  <c r="R44" i="16"/>
  <c r="S40" i="16"/>
  <c r="R38" i="16"/>
  <c r="R36" i="16"/>
  <c r="S32" i="16"/>
  <c r="S22" i="16"/>
  <c r="R19" i="16"/>
  <c r="S17" i="16"/>
  <c r="T14" i="16"/>
  <c r="W13" i="16"/>
  <c r="R13" i="16"/>
  <c r="Y11" i="16"/>
  <c r="R166" i="17"/>
  <c r="Z154" i="17"/>
  <c r="S119" i="17"/>
  <c r="X119" i="17"/>
  <c r="Q119" i="17"/>
  <c r="Z118" i="17"/>
  <c r="R112" i="17"/>
  <c r="V111" i="17"/>
  <c r="Q109" i="17"/>
  <c r="S109" i="17"/>
  <c r="X109" i="17"/>
  <c r="Z108" i="17"/>
  <c r="R108" i="17"/>
  <c r="V103" i="17"/>
  <c r="R102" i="17"/>
  <c r="S95" i="17"/>
  <c r="Q95" i="17"/>
  <c r="X95" i="17"/>
  <c r="Z84" i="17"/>
  <c r="R80" i="17"/>
  <c r="Q79" i="17"/>
  <c r="X79" i="17"/>
  <c r="S79" i="17"/>
  <c r="Q76" i="17"/>
  <c r="S76" i="17"/>
  <c r="X76" i="17"/>
  <c r="Z75" i="17"/>
  <c r="R75" i="17"/>
  <c r="V74" i="17"/>
  <c r="Q72" i="17"/>
  <c r="S72" i="17"/>
  <c r="X72" i="17"/>
  <c r="Z71" i="17"/>
  <c r="R71" i="17"/>
  <c r="Q52" i="17"/>
  <c r="S52" i="17"/>
  <c r="X52" i="17"/>
  <c r="Z40" i="17"/>
  <c r="Q36" i="17"/>
  <c r="X36" i="17"/>
  <c r="S36" i="17"/>
  <c r="Z32" i="17"/>
  <c r="V16" i="17"/>
  <c r="S16" i="17"/>
  <c r="Q14" i="17"/>
  <c r="X12" i="17"/>
  <c r="G168" i="18"/>
  <c r="H165" i="18"/>
  <c r="K165" i="18" s="1"/>
  <c r="E165" i="18"/>
  <c r="G165" i="18"/>
  <c r="F160" i="18"/>
  <c r="H160" i="18"/>
  <c r="K160" i="18"/>
  <c r="G160" i="18"/>
  <c r="F158" i="18"/>
  <c r="H158" i="18"/>
  <c r="K158" i="18"/>
  <c r="G158" i="18"/>
  <c r="F147" i="18"/>
  <c r="H147" i="18"/>
  <c r="K147" i="18"/>
  <c r="E147" i="18"/>
  <c r="G147" i="18"/>
  <c r="F125" i="18"/>
  <c r="G125" i="18"/>
  <c r="H125" i="18"/>
  <c r="K125" i="18" s="1"/>
  <c r="E125" i="18"/>
  <c r="F109" i="18"/>
  <c r="G109" i="18"/>
  <c r="H109" i="18"/>
  <c r="K109" i="18" s="1"/>
  <c r="E109" i="18"/>
  <c r="Z152" i="17"/>
  <c r="Z134" i="17"/>
  <c r="Z132" i="17"/>
  <c r="Z114" i="17"/>
  <c r="Z106" i="17"/>
  <c r="Z82" i="17"/>
  <c r="V63" i="17"/>
  <c r="V61" i="17"/>
  <c r="V59" i="17"/>
  <c r="Z42" i="17"/>
  <c r="Z34" i="17"/>
  <c r="Q23" i="17"/>
  <c r="X23" i="17"/>
  <c r="S22" i="17"/>
  <c r="X22" i="17"/>
  <c r="F167" i="18"/>
  <c r="G166" i="18"/>
  <c r="H161" i="18"/>
  <c r="K161" i="18"/>
  <c r="F161" i="18"/>
  <c r="H152" i="18"/>
  <c r="K152" i="18" s="1"/>
  <c r="E152" i="18"/>
  <c r="G152" i="18"/>
  <c r="H144" i="18"/>
  <c r="K144" i="18" s="1"/>
  <c r="E144" i="18"/>
  <c r="G144" i="18"/>
  <c r="H136" i="18"/>
  <c r="K136" i="18" s="1"/>
  <c r="E136" i="18"/>
  <c r="G136" i="18"/>
  <c r="F123" i="18"/>
  <c r="G123" i="18"/>
  <c r="H123" i="18"/>
  <c r="K123" i="18"/>
  <c r="F115" i="18"/>
  <c r="G115" i="18"/>
  <c r="H115" i="18"/>
  <c r="K115" i="18"/>
  <c r="G82" i="18"/>
  <c r="H82" i="18"/>
  <c r="K82" i="18"/>
  <c r="F82" i="18"/>
  <c r="G78" i="18"/>
  <c r="H78" i="18"/>
  <c r="K78" i="18"/>
  <c r="F78" i="18"/>
  <c r="G192" i="20"/>
  <c r="E192" i="20"/>
  <c r="K192" i="20"/>
  <c r="F192" i="20"/>
  <c r="K184" i="20"/>
  <c r="F184" i="20"/>
  <c r="G176" i="20"/>
  <c r="E176" i="20"/>
  <c r="K176" i="20"/>
  <c r="F176" i="20"/>
  <c r="G168" i="20"/>
  <c r="E168" i="20"/>
  <c r="K168" i="20"/>
  <c r="F168" i="20"/>
  <c r="E153" i="20"/>
  <c r="K153" i="20"/>
  <c r="F153" i="20"/>
  <c r="G153" i="20"/>
  <c r="F146" i="20"/>
  <c r="K146" i="20"/>
  <c r="E146" i="20"/>
  <c r="G146" i="20"/>
  <c r="F125" i="20"/>
  <c r="K125" i="20"/>
  <c r="G125" i="20"/>
  <c r="E125" i="20"/>
  <c r="F118" i="20"/>
  <c r="G118" i="20"/>
  <c r="E118" i="20"/>
  <c r="K118" i="20"/>
  <c r="F111" i="20"/>
  <c r="K111" i="20"/>
  <c r="E111" i="20"/>
  <c r="G111" i="20"/>
  <c r="F97" i="20"/>
  <c r="K97" i="20"/>
  <c r="E97" i="20"/>
  <c r="G97" i="20"/>
  <c r="F77" i="20"/>
  <c r="K77" i="20"/>
  <c r="E77" i="20"/>
  <c r="G77" i="20"/>
  <c r="E66" i="20"/>
  <c r="K66" i="20"/>
  <c r="F66" i="20"/>
  <c r="G66" i="20"/>
  <c r="F32" i="20"/>
  <c r="K32" i="20"/>
  <c r="E32" i="20"/>
  <c r="G32" i="20"/>
  <c r="F29" i="20"/>
  <c r="G29" i="20"/>
  <c r="K29" i="20"/>
  <c r="E29" i="20"/>
  <c r="E186" i="22"/>
  <c r="K186" i="22"/>
  <c r="F186" i="22"/>
  <c r="G186" i="22"/>
  <c r="E117" i="22"/>
  <c r="G117" i="22"/>
  <c r="K117" i="22"/>
  <c r="F117" i="22"/>
  <c r="G102" i="22"/>
  <c r="E102" i="22"/>
  <c r="K102" i="22"/>
  <c r="F102" i="22"/>
  <c r="E85" i="22"/>
  <c r="G85" i="22"/>
  <c r="K85" i="22"/>
  <c r="F85" i="22"/>
  <c r="F62" i="22"/>
  <c r="K62" i="22"/>
  <c r="E62" i="22"/>
  <c r="G62" i="22"/>
  <c r="F24" i="22"/>
  <c r="K24" i="22"/>
  <c r="G24" i="22"/>
  <c r="E24" i="22"/>
  <c r="F19" i="22"/>
  <c r="K19" i="22"/>
  <c r="G19" i="22"/>
  <c r="E19" i="22"/>
  <c r="H159" i="18"/>
  <c r="K159" i="18" s="1"/>
  <c r="F159" i="18"/>
  <c r="F151" i="18"/>
  <c r="E151" i="18"/>
  <c r="H151" i="18"/>
  <c r="K151" i="18"/>
  <c r="F143" i="18"/>
  <c r="E143" i="18"/>
  <c r="H143" i="18"/>
  <c r="K143" i="18"/>
  <c r="F135" i="18"/>
  <c r="E135" i="18"/>
  <c r="H135" i="18"/>
  <c r="K135" i="18"/>
  <c r="F119" i="18"/>
  <c r="G119" i="18"/>
  <c r="H119" i="18"/>
  <c r="K119" i="18"/>
  <c r="F111" i="18"/>
  <c r="G111" i="18"/>
  <c r="H111" i="18"/>
  <c r="K111" i="18"/>
  <c r="G98" i="18"/>
  <c r="H98" i="18"/>
  <c r="K98" i="18" s="1"/>
  <c r="F98" i="18"/>
  <c r="G94" i="18"/>
  <c r="H94" i="18"/>
  <c r="K94" i="18" s="1"/>
  <c r="F94" i="18"/>
  <c r="G66" i="18"/>
  <c r="H66" i="18"/>
  <c r="K66" i="18" s="1"/>
  <c r="F66" i="18"/>
  <c r="F144" i="20"/>
  <c r="G144" i="20"/>
  <c r="E137" i="20"/>
  <c r="K137" i="20"/>
  <c r="F137" i="20"/>
  <c r="G137" i="20"/>
  <c r="F130" i="20"/>
  <c r="K130" i="20"/>
  <c r="E130" i="20"/>
  <c r="G130" i="20"/>
  <c r="F127" i="20"/>
  <c r="K127" i="20"/>
  <c r="E127" i="20"/>
  <c r="G127" i="20"/>
  <c r="F87" i="20"/>
  <c r="K87" i="20"/>
  <c r="G87" i="20"/>
  <c r="E87" i="20"/>
  <c r="F69" i="20"/>
  <c r="K69" i="20"/>
  <c r="E69" i="20"/>
  <c r="G69" i="20"/>
  <c r="F65" i="20"/>
  <c r="K65" i="20"/>
  <c r="E65" i="20"/>
  <c r="G65" i="20"/>
  <c r="F62" i="20"/>
  <c r="E62" i="20"/>
  <c r="F39" i="20"/>
  <c r="K39" i="20"/>
  <c r="E39" i="20"/>
  <c r="G39" i="20"/>
  <c r="F206" i="22"/>
  <c r="E206" i="22"/>
  <c r="G206" i="22"/>
  <c r="K206" i="22"/>
  <c r="F192" i="22"/>
  <c r="G192" i="22"/>
  <c r="E192" i="22"/>
  <c r="K192" i="22"/>
  <c r="G118" i="22"/>
  <c r="E118" i="22"/>
  <c r="K118" i="22"/>
  <c r="F118" i="22"/>
  <c r="E101" i="22"/>
  <c r="G101" i="22"/>
  <c r="K101" i="22"/>
  <c r="F101" i="22"/>
  <c r="G86" i="22"/>
  <c r="E86" i="22"/>
  <c r="K86" i="22"/>
  <c r="F86" i="22"/>
  <c r="F54" i="22"/>
  <c r="E54" i="22"/>
  <c r="G54" i="22"/>
  <c r="K54" i="22"/>
  <c r="F45" i="22"/>
  <c r="K45" i="22"/>
  <c r="G45" i="22"/>
  <c r="E45" i="22"/>
  <c r="F39" i="22"/>
  <c r="K39" i="22"/>
  <c r="E39" i="22"/>
  <c r="G39" i="22"/>
  <c r="G100" i="18"/>
  <c r="H100" i="18"/>
  <c r="K100" i="18" s="1"/>
  <c r="G92" i="18"/>
  <c r="H92" i="18"/>
  <c r="K92" i="18" s="1"/>
  <c r="G84" i="18"/>
  <c r="H84" i="18"/>
  <c r="K84" i="18"/>
  <c r="G76" i="18"/>
  <c r="H76" i="18"/>
  <c r="K76" i="18"/>
  <c r="G68" i="18"/>
  <c r="H68" i="18"/>
  <c r="K68" i="18" s="1"/>
  <c r="G62" i="18"/>
  <c r="E62" i="18"/>
  <c r="F62" i="18"/>
  <c r="G58" i="18"/>
  <c r="E58" i="18"/>
  <c r="F58" i="18"/>
  <c r="G54" i="18"/>
  <c r="E54" i="18"/>
  <c r="F54" i="18"/>
  <c r="G50" i="18"/>
  <c r="E50" i="18"/>
  <c r="F50" i="18"/>
  <c r="G46" i="18"/>
  <c r="E46" i="18"/>
  <c r="F46" i="18"/>
  <c r="G42" i="18"/>
  <c r="E42" i="18"/>
  <c r="F42" i="18"/>
  <c r="G38" i="18"/>
  <c r="E38" i="18"/>
  <c r="F38" i="18"/>
  <c r="G34" i="18"/>
  <c r="E34" i="18"/>
  <c r="F34" i="18"/>
  <c r="G30" i="18"/>
  <c r="E30" i="18"/>
  <c r="F30" i="18"/>
  <c r="G26" i="18"/>
  <c r="E26" i="18"/>
  <c r="F26" i="18"/>
  <c r="G22" i="18"/>
  <c r="E22" i="18"/>
  <c r="F22" i="18"/>
  <c r="G18" i="18"/>
  <c r="E18" i="18"/>
  <c r="F18" i="18"/>
  <c r="G14" i="18"/>
  <c r="E14" i="18"/>
  <c r="F14" i="18"/>
  <c r="G10" i="18"/>
  <c r="E10" i="18"/>
  <c r="F10" i="18"/>
  <c r="G6" i="18"/>
  <c r="E6" i="18"/>
  <c r="F6" i="18"/>
  <c r="E189" i="20"/>
  <c r="F189" i="20"/>
  <c r="K189" i="20"/>
  <c r="E173" i="20"/>
  <c r="F173" i="20"/>
  <c r="K173" i="20"/>
  <c r="F151" i="20"/>
  <c r="G151" i="20"/>
  <c r="F143" i="20"/>
  <c r="G143" i="20"/>
  <c r="F135" i="20"/>
  <c r="G135" i="20"/>
  <c r="E120" i="20"/>
  <c r="E112" i="20"/>
  <c r="K112" i="20"/>
  <c r="F112" i="20"/>
  <c r="E98" i="20"/>
  <c r="K98" i="20"/>
  <c r="F98" i="20"/>
  <c r="G98" i="20"/>
  <c r="F88" i="20"/>
  <c r="E88" i="20"/>
  <c r="G88" i="20"/>
  <c r="G78" i="20"/>
  <c r="E78" i="20"/>
  <c r="F78" i="20"/>
  <c r="F63" i="20"/>
  <c r="K63" i="20"/>
  <c r="E63" i="20"/>
  <c r="G63" i="20"/>
  <c r="F41" i="20"/>
  <c r="K41" i="20"/>
  <c r="E41" i="20"/>
  <c r="G41" i="20"/>
  <c r="F38" i="20"/>
  <c r="G38" i="20"/>
  <c r="K38" i="20"/>
  <c r="F30" i="20"/>
  <c r="K30" i="20"/>
  <c r="E30" i="20"/>
  <c r="G30" i="20"/>
  <c r="E211" i="22"/>
  <c r="F211" i="22"/>
  <c r="K211" i="22"/>
  <c r="G211" i="22"/>
  <c r="E194" i="22"/>
  <c r="K194" i="22"/>
  <c r="F194" i="22"/>
  <c r="F184" i="22"/>
  <c r="G184" i="22"/>
  <c r="E184" i="22"/>
  <c r="E161" i="22"/>
  <c r="K161" i="22"/>
  <c r="F161" i="22"/>
  <c r="G161" i="22"/>
  <c r="G122" i="22"/>
  <c r="E122" i="22"/>
  <c r="K122" i="22"/>
  <c r="F122" i="22"/>
  <c r="E113" i="22"/>
  <c r="G113" i="22"/>
  <c r="K113" i="22"/>
  <c r="G106" i="22"/>
  <c r="E106" i="22"/>
  <c r="K106" i="22"/>
  <c r="F106" i="22"/>
  <c r="E97" i="22"/>
  <c r="G97" i="22"/>
  <c r="K97" i="22"/>
  <c r="G90" i="22"/>
  <c r="E90" i="22"/>
  <c r="E81" i="22"/>
  <c r="G81" i="22"/>
  <c r="K81" i="22"/>
  <c r="G78" i="22"/>
  <c r="E78" i="22"/>
  <c r="K78" i="22"/>
  <c r="F78" i="22"/>
  <c r="G72" i="22"/>
  <c r="E72" i="22"/>
  <c r="F72" i="22"/>
  <c r="G70" i="22"/>
  <c r="E70" i="22"/>
  <c r="K70" i="22"/>
  <c r="F70" i="22"/>
  <c r="G66" i="22"/>
  <c r="E66" i="22"/>
  <c r="K66" i="22"/>
  <c r="F66" i="22"/>
  <c r="E32" i="22"/>
  <c r="K32" i="22"/>
  <c r="F32" i="22"/>
  <c r="G32" i="22"/>
  <c r="G157" i="18"/>
  <c r="F150" i="18"/>
  <c r="G149" i="18"/>
  <c r="F142" i="18"/>
  <c r="G141" i="18"/>
  <c r="F129" i="18"/>
  <c r="G104" i="18"/>
  <c r="H104" i="18"/>
  <c r="K104" i="18" s="1"/>
  <c r="E100" i="18"/>
  <c r="G96" i="18"/>
  <c r="H96" i="18"/>
  <c r="K96" i="18" s="1"/>
  <c r="E92" i="18"/>
  <c r="G88" i="18"/>
  <c r="H88" i="18"/>
  <c r="K88" i="18" s="1"/>
  <c r="E84" i="18"/>
  <c r="G80" i="18"/>
  <c r="H80" i="18"/>
  <c r="K80" i="18" s="1"/>
  <c r="E76" i="18"/>
  <c r="G72" i="18"/>
  <c r="H72" i="18"/>
  <c r="K72" i="18" s="1"/>
  <c r="E68" i="18"/>
  <c r="G64" i="18"/>
  <c r="H64" i="18"/>
  <c r="K64" i="18" s="1"/>
  <c r="E181" i="20"/>
  <c r="F181" i="20"/>
  <c r="K181" i="20"/>
  <c r="G150" i="20"/>
  <c r="F142" i="20"/>
  <c r="K142" i="20"/>
  <c r="G142" i="20"/>
  <c r="F134" i="20"/>
  <c r="K134" i="20"/>
  <c r="G134" i="20"/>
  <c r="F121" i="20"/>
  <c r="K121" i="20"/>
  <c r="E121" i="20"/>
  <c r="F113" i="20"/>
  <c r="K113" i="20"/>
  <c r="E113" i="20"/>
  <c r="F109" i="20"/>
  <c r="K109" i="20"/>
  <c r="E109" i="20"/>
  <c r="F107" i="20"/>
  <c r="K107" i="20"/>
  <c r="E107" i="20"/>
  <c r="G107" i="20"/>
  <c r="F105" i="20"/>
  <c r="K105" i="20"/>
  <c r="E105" i="20"/>
  <c r="F101" i="20"/>
  <c r="K101" i="20"/>
  <c r="E101" i="20"/>
  <c r="G101" i="20"/>
  <c r="F95" i="20"/>
  <c r="K95" i="20"/>
  <c r="G95" i="20"/>
  <c r="F89" i="20"/>
  <c r="K89" i="20"/>
  <c r="E89" i="20"/>
  <c r="G89" i="20"/>
  <c r="F83" i="20"/>
  <c r="K83" i="20"/>
  <c r="E83" i="20"/>
  <c r="F79" i="20"/>
  <c r="K79" i="20"/>
  <c r="G79" i="20"/>
  <c r="E79" i="20"/>
  <c r="E74" i="20"/>
  <c r="K74" i="20"/>
  <c r="F74" i="20"/>
  <c r="F57" i="20"/>
  <c r="K57" i="20"/>
  <c r="E57" i="20"/>
  <c r="G57" i="20"/>
  <c r="F54" i="20"/>
  <c r="G54" i="20"/>
  <c r="K54" i="20"/>
  <c r="F47" i="20"/>
  <c r="K47" i="20"/>
  <c r="E47" i="20"/>
  <c r="G47" i="20"/>
  <c r="F24" i="20"/>
  <c r="K24" i="20"/>
  <c r="E24" i="20"/>
  <c r="G24" i="20"/>
  <c r="F21" i="20"/>
  <c r="G21" i="20"/>
  <c r="K21" i="20"/>
  <c r="F14" i="20"/>
  <c r="K14" i="20"/>
  <c r="E14" i="20"/>
  <c r="G14" i="20"/>
  <c r="E203" i="22"/>
  <c r="K203" i="22"/>
  <c r="F203" i="22"/>
  <c r="G203" i="22"/>
  <c r="E178" i="22"/>
  <c r="K178" i="22"/>
  <c r="F178" i="22"/>
  <c r="F176" i="22"/>
  <c r="K176" i="22"/>
  <c r="E176" i="22"/>
  <c r="E171" i="22"/>
  <c r="K171" i="22"/>
  <c r="F171" i="22"/>
  <c r="G171" i="22"/>
  <c r="F151" i="22"/>
  <c r="E151" i="22"/>
  <c r="G151" i="22"/>
  <c r="K151" i="22"/>
  <c r="E121" i="22"/>
  <c r="G121" i="22"/>
  <c r="K121" i="22"/>
  <c r="G114" i="22"/>
  <c r="E114" i="22"/>
  <c r="K114" i="22"/>
  <c r="F114" i="22"/>
  <c r="E105" i="22"/>
  <c r="G105" i="22"/>
  <c r="K105" i="22"/>
  <c r="G98" i="22"/>
  <c r="E98" i="22"/>
  <c r="K98" i="22"/>
  <c r="F98" i="22"/>
  <c r="E89" i="22"/>
  <c r="G89" i="22"/>
  <c r="K89" i="22"/>
  <c r="G82" i="22"/>
  <c r="E82" i="22"/>
  <c r="K82" i="22"/>
  <c r="F82" i="22"/>
  <c r="F107" i="18"/>
  <c r="F105" i="18"/>
  <c r="F103" i="18"/>
  <c r="F101" i="18"/>
  <c r="F99" i="18"/>
  <c r="F97" i="18"/>
  <c r="F95" i="18"/>
  <c r="F93" i="18"/>
  <c r="F91" i="18"/>
  <c r="F89" i="18"/>
  <c r="F87" i="18"/>
  <c r="F85" i="18"/>
  <c r="F83" i="18"/>
  <c r="F81" i="18"/>
  <c r="F79" i="18"/>
  <c r="F77" i="18"/>
  <c r="F75" i="18"/>
  <c r="F73" i="18"/>
  <c r="F71" i="18"/>
  <c r="F69" i="18"/>
  <c r="F67" i="18"/>
  <c r="F65" i="18"/>
  <c r="F63" i="18"/>
  <c r="E162" i="20"/>
  <c r="K162" i="20"/>
  <c r="K157" i="20"/>
  <c r="K147" i="20"/>
  <c r="K139" i="20"/>
  <c r="K131" i="20"/>
  <c r="K122" i="20"/>
  <c r="K114" i="20"/>
  <c r="K104" i="20"/>
  <c r="F99" i="20"/>
  <c r="K99" i="20"/>
  <c r="K94" i="20"/>
  <c r="F93" i="20"/>
  <c r="K93" i="20"/>
  <c r="E90" i="20"/>
  <c r="K90" i="20"/>
  <c r="K72" i="20"/>
  <c r="F67" i="20"/>
  <c r="K67" i="20"/>
  <c r="F61" i="20"/>
  <c r="K61" i="20"/>
  <c r="G61" i="20"/>
  <c r="F53" i="20"/>
  <c r="K53" i="20"/>
  <c r="G53" i="20"/>
  <c r="F45" i="20"/>
  <c r="K45" i="20"/>
  <c r="G45" i="20"/>
  <c r="F37" i="20"/>
  <c r="K37" i="20"/>
  <c r="G37" i="20"/>
  <c r="F28" i="20"/>
  <c r="K28" i="20"/>
  <c r="G28" i="20"/>
  <c r="F20" i="20"/>
  <c r="K20" i="20"/>
  <c r="G20" i="20"/>
  <c r="F12" i="20"/>
  <c r="K12" i="20"/>
  <c r="G12" i="20"/>
  <c r="G212" i="22"/>
  <c r="E212" i="22"/>
  <c r="K212" i="22"/>
  <c r="F195" i="22"/>
  <c r="K195" i="22"/>
  <c r="E195" i="22"/>
  <c r="F187" i="22"/>
  <c r="K187" i="22"/>
  <c r="E187" i="22"/>
  <c r="F179" i="22"/>
  <c r="K179" i="22"/>
  <c r="E179" i="22"/>
  <c r="E177" i="22"/>
  <c r="K177" i="22"/>
  <c r="F177" i="22"/>
  <c r="G175" i="22"/>
  <c r="K175" i="22"/>
  <c r="E175" i="22"/>
  <c r="F168" i="22"/>
  <c r="K168" i="22"/>
  <c r="E168" i="22"/>
  <c r="F164" i="22"/>
  <c r="K164" i="22"/>
  <c r="E164" i="22"/>
  <c r="G164" i="22"/>
  <c r="F158" i="22"/>
  <c r="K158" i="22"/>
  <c r="G158" i="22"/>
  <c r="F152" i="22"/>
  <c r="K152" i="22"/>
  <c r="E152" i="22"/>
  <c r="G152" i="22"/>
  <c r="F146" i="22"/>
  <c r="K146" i="22"/>
  <c r="E146" i="22"/>
  <c r="E140" i="22"/>
  <c r="K140" i="22"/>
  <c r="F140" i="22"/>
  <c r="G140" i="22"/>
  <c r="E127" i="22"/>
  <c r="K127" i="22"/>
  <c r="F127" i="22"/>
  <c r="E123" i="22"/>
  <c r="F123" i="22"/>
  <c r="K123" i="22"/>
  <c r="E119" i="22"/>
  <c r="F119" i="22"/>
  <c r="K119" i="22"/>
  <c r="E115" i="22"/>
  <c r="F115" i="22"/>
  <c r="K115" i="22"/>
  <c r="E111" i="22"/>
  <c r="F111" i="22"/>
  <c r="K111" i="22"/>
  <c r="E107" i="22"/>
  <c r="F107" i="22"/>
  <c r="K107" i="22"/>
  <c r="E103" i="22"/>
  <c r="F103" i="22"/>
  <c r="K103" i="22"/>
  <c r="E99" i="22"/>
  <c r="F99" i="22"/>
  <c r="E95" i="22"/>
  <c r="F95" i="22"/>
  <c r="K95" i="22"/>
  <c r="E91" i="22"/>
  <c r="F91" i="22"/>
  <c r="K91" i="22"/>
  <c r="E87" i="22"/>
  <c r="F87" i="22"/>
  <c r="K87" i="22"/>
  <c r="E83" i="22"/>
  <c r="F83" i="22"/>
  <c r="K83" i="22"/>
  <c r="F43" i="22"/>
  <c r="K43" i="22"/>
  <c r="E43" i="22"/>
  <c r="F41" i="22"/>
  <c r="K41" i="22"/>
  <c r="E41" i="22"/>
  <c r="G41" i="22"/>
  <c r="F31" i="22"/>
  <c r="K31" i="22"/>
  <c r="E31" i="22"/>
  <c r="G31" i="22"/>
  <c r="F158" i="20"/>
  <c r="K158" i="20"/>
  <c r="F148" i="20"/>
  <c r="K148" i="20"/>
  <c r="F140" i="20"/>
  <c r="K140" i="20"/>
  <c r="F132" i="20"/>
  <c r="K132" i="20"/>
  <c r="F123" i="20"/>
  <c r="K123" i="20"/>
  <c r="F115" i="20"/>
  <c r="K115" i="20"/>
  <c r="F103" i="20"/>
  <c r="K103" i="20"/>
  <c r="G103" i="20"/>
  <c r="F91" i="20"/>
  <c r="F85" i="20"/>
  <c r="K85" i="20"/>
  <c r="E82" i="20"/>
  <c r="K82" i="20"/>
  <c r="F81" i="20"/>
  <c r="K81" i="20"/>
  <c r="E81" i="20"/>
  <c r="F71" i="20"/>
  <c r="K71" i="20"/>
  <c r="G71" i="20"/>
  <c r="E64" i="20"/>
  <c r="K64" i="20"/>
  <c r="F64" i="20"/>
  <c r="E56" i="20"/>
  <c r="K56" i="20"/>
  <c r="F56" i="20"/>
  <c r="E48" i="20"/>
  <c r="K48" i="20"/>
  <c r="F48" i="20"/>
  <c r="E40" i="20"/>
  <c r="K40" i="20"/>
  <c r="F40" i="20"/>
  <c r="E31" i="20"/>
  <c r="K31" i="20"/>
  <c r="F31" i="20"/>
  <c r="E23" i="20"/>
  <c r="K23" i="20"/>
  <c r="F23" i="20"/>
  <c r="E15" i="20"/>
  <c r="K15" i="20"/>
  <c r="F15" i="20"/>
  <c r="F210" i="22"/>
  <c r="E210" i="22"/>
  <c r="G210" i="22"/>
  <c r="E207" i="22"/>
  <c r="K207" i="22"/>
  <c r="F207" i="22"/>
  <c r="G207" i="22"/>
  <c r="G205" i="22"/>
  <c r="E205" i="22"/>
  <c r="F205" i="22"/>
  <c r="F202" i="22"/>
  <c r="E202" i="22"/>
  <c r="G202" i="22"/>
  <c r="K199" i="22"/>
  <c r="G199" i="22"/>
  <c r="F193" i="22"/>
  <c r="K193" i="22"/>
  <c r="E193" i="22"/>
  <c r="G193" i="22"/>
  <c r="F191" i="22"/>
  <c r="K191" i="22"/>
  <c r="G191" i="22"/>
  <c r="F185" i="22"/>
  <c r="K185" i="22"/>
  <c r="E185" i="22"/>
  <c r="G185" i="22"/>
  <c r="F183" i="22"/>
  <c r="K183" i="22"/>
  <c r="G183" i="22"/>
  <c r="F172" i="22"/>
  <c r="K172" i="22"/>
  <c r="E172" i="22"/>
  <c r="E170" i="22"/>
  <c r="K170" i="22"/>
  <c r="F170" i="22"/>
  <c r="F159" i="22"/>
  <c r="K159" i="22"/>
  <c r="E159" i="22"/>
  <c r="G149" i="22"/>
  <c r="K149" i="22"/>
  <c r="E149" i="22"/>
  <c r="F139" i="22"/>
  <c r="E139" i="22"/>
  <c r="K139" i="22"/>
  <c r="G135" i="22"/>
  <c r="F135" i="22"/>
  <c r="E135" i="22"/>
  <c r="G129" i="22"/>
  <c r="E129" i="22"/>
  <c r="K129" i="22"/>
  <c r="E71" i="22"/>
  <c r="F71" i="22"/>
  <c r="K71" i="22"/>
  <c r="G71" i="22"/>
  <c r="F61" i="22"/>
  <c r="K61" i="22"/>
  <c r="G61" i="22"/>
  <c r="G52" i="22"/>
  <c r="K52" i="22"/>
  <c r="E52" i="22"/>
  <c r="F47" i="22"/>
  <c r="K47" i="22"/>
  <c r="E47" i="22"/>
  <c r="G43" i="22"/>
  <c r="E40" i="22"/>
  <c r="K40" i="22"/>
  <c r="F40" i="22"/>
  <c r="G40" i="22"/>
  <c r="F15" i="22"/>
  <c r="K15" i="22"/>
  <c r="E15" i="22"/>
  <c r="G15" i="22"/>
  <c r="F11" i="22"/>
  <c r="K11" i="22"/>
  <c r="G11" i="22"/>
  <c r="E11" i="22"/>
  <c r="K58" i="20"/>
  <c r="K50" i="20"/>
  <c r="K42" i="20"/>
  <c r="K33" i="20"/>
  <c r="K17" i="20"/>
  <c r="K9" i="20"/>
  <c r="K6" i="20"/>
  <c r="K196" i="22"/>
  <c r="K188" i="22"/>
  <c r="K180" i="22"/>
  <c r="K167" i="22"/>
  <c r="F162" i="22"/>
  <c r="K162" i="22"/>
  <c r="K157" i="22"/>
  <c r="F156" i="22"/>
  <c r="K156" i="22"/>
  <c r="E153" i="22"/>
  <c r="K153" i="22"/>
  <c r="G143" i="22"/>
  <c r="E143" i="22"/>
  <c r="E136" i="22"/>
  <c r="K136" i="22"/>
  <c r="F136" i="22"/>
  <c r="K124" i="22"/>
  <c r="K120" i="22"/>
  <c r="K116" i="22"/>
  <c r="K112" i="22"/>
  <c r="K108" i="22"/>
  <c r="K104" i="22"/>
  <c r="K100" i="22"/>
  <c r="K96" i="22"/>
  <c r="K92" i="22"/>
  <c r="K88" i="22"/>
  <c r="K84" i="22"/>
  <c r="K80" i="22"/>
  <c r="E67" i="22"/>
  <c r="F67" i="22"/>
  <c r="K67" i="22"/>
  <c r="K64" i="22"/>
  <c r="F37" i="22"/>
  <c r="K37" i="22"/>
  <c r="G37" i="22"/>
  <c r="G23" i="22"/>
  <c r="K23" i="22"/>
  <c r="E23" i="22"/>
  <c r="F21" i="22"/>
  <c r="K21" i="22"/>
  <c r="E21" i="22"/>
  <c r="G21" i="22"/>
  <c r="F9" i="22"/>
  <c r="K9" i="22"/>
  <c r="E9" i="22"/>
  <c r="G9" i="22"/>
  <c r="F51" i="20"/>
  <c r="K51" i="20"/>
  <c r="F43" i="20"/>
  <c r="K43" i="20"/>
  <c r="F34" i="20"/>
  <c r="K34" i="20"/>
  <c r="F26" i="20"/>
  <c r="K26" i="20"/>
  <c r="F18" i="20"/>
  <c r="K18" i="20"/>
  <c r="F10" i="20"/>
  <c r="K10" i="20"/>
  <c r="E8" i="20"/>
  <c r="K8" i="20"/>
  <c r="E213" i="22"/>
  <c r="K213" i="22"/>
  <c r="F197" i="22"/>
  <c r="K197" i="22"/>
  <c r="F189" i="22"/>
  <c r="K189" i="22"/>
  <c r="F181" i="22"/>
  <c r="K181" i="22"/>
  <c r="F166" i="22"/>
  <c r="K166" i="22"/>
  <c r="G166" i="22"/>
  <c r="F154" i="22"/>
  <c r="K154" i="22"/>
  <c r="F148" i="22"/>
  <c r="K148" i="22"/>
  <c r="E145" i="22"/>
  <c r="K145" i="22"/>
  <c r="F144" i="22"/>
  <c r="K144" i="22"/>
  <c r="E144" i="22"/>
  <c r="G138" i="22"/>
  <c r="E138" i="22"/>
  <c r="E132" i="22"/>
  <c r="F132" i="22"/>
  <c r="K132" i="22"/>
  <c r="G131" i="22"/>
  <c r="F131" i="22"/>
  <c r="E79" i="22"/>
  <c r="F79" i="22"/>
  <c r="K79" i="22"/>
  <c r="G74" i="22"/>
  <c r="E74" i="22"/>
  <c r="K74" i="22"/>
  <c r="F74" i="22"/>
  <c r="E63" i="22"/>
  <c r="F63" i="22"/>
  <c r="K63" i="22"/>
  <c r="F55" i="22"/>
  <c r="K55" i="22"/>
  <c r="E55" i="22"/>
  <c r="G55" i="22"/>
  <c r="F53" i="22"/>
  <c r="K53" i="22"/>
  <c r="G53" i="22"/>
  <c r="E53" i="22"/>
  <c r="F49" i="22"/>
  <c r="K49" i="22"/>
  <c r="E49" i="22"/>
  <c r="G44" i="22"/>
  <c r="E44" i="22"/>
  <c r="F44" i="22"/>
  <c r="F35" i="22"/>
  <c r="K35" i="22"/>
  <c r="E35" i="22"/>
  <c r="G35" i="22"/>
  <c r="G29" i="22"/>
  <c r="E29" i="22"/>
  <c r="K29" i="22"/>
  <c r="F25" i="22"/>
  <c r="E25" i="22"/>
  <c r="G25" i="22"/>
  <c r="F20" i="22"/>
  <c r="E20" i="22"/>
  <c r="K20" i="22"/>
  <c r="G18" i="22"/>
  <c r="K18" i="22"/>
  <c r="E18" i="22"/>
  <c r="F18" i="22"/>
  <c r="F59" i="22"/>
  <c r="K59" i="22"/>
  <c r="E56" i="22"/>
  <c r="K56" i="22"/>
  <c r="F33" i="22"/>
  <c r="K33" i="22"/>
  <c r="F26" i="22"/>
  <c r="E26" i="22"/>
  <c r="F12" i="22"/>
  <c r="G12" i="22"/>
  <c r="G77" i="22"/>
  <c r="G73" i="22"/>
  <c r="G69" i="22"/>
  <c r="G65" i="22"/>
  <c r="G59" i="22"/>
  <c r="F57" i="22"/>
  <c r="K57" i="22"/>
  <c r="G56" i="22"/>
  <c r="F51" i="22"/>
  <c r="K51" i="22"/>
  <c r="E48" i="22"/>
  <c r="K48" i="22"/>
  <c r="G46" i="22"/>
  <c r="F36" i="22"/>
  <c r="G33" i="22"/>
  <c r="E27" i="22"/>
  <c r="K27" i="22"/>
  <c r="F27" i="22"/>
  <c r="G26" i="22"/>
  <c r="E22" i="22"/>
  <c r="K22" i="22"/>
  <c r="G22" i="22"/>
  <c r="F13" i="22"/>
  <c r="K13" i="22"/>
  <c r="E13" i="22"/>
  <c r="E12" i="22"/>
  <c r="G10" i="22"/>
  <c r="E10" i="22"/>
  <c r="F17" i="22"/>
  <c r="K17" i="22"/>
  <c r="E14" i="22"/>
  <c r="K14" i="22"/>
  <c r="E6" i="22"/>
  <c r="K6" i="22"/>
  <c r="R263" i="13" l="1"/>
  <c r="S263" i="13"/>
  <c r="T263" i="13"/>
  <c r="R255" i="13"/>
  <c r="S255" i="13"/>
  <c r="T255" i="13"/>
  <c r="R239" i="13"/>
  <c r="T239" i="13"/>
  <c r="W239" i="13"/>
  <c r="R237" i="13"/>
  <c r="S237" i="13"/>
  <c r="T237" i="13"/>
  <c r="R227" i="13"/>
  <c r="T227" i="13"/>
  <c r="W227" i="13"/>
  <c r="S227" i="13"/>
  <c r="R177" i="13"/>
  <c r="T177" i="13"/>
  <c r="W177" i="13"/>
  <c r="S177" i="13"/>
  <c r="R175" i="13"/>
  <c r="S175" i="13"/>
  <c r="T175" i="13"/>
  <c r="R152" i="13"/>
  <c r="T152" i="13"/>
  <c r="W152" i="13"/>
  <c r="R103" i="13"/>
  <c r="S103" i="13"/>
  <c r="R99" i="13"/>
  <c r="S99" i="13"/>
  <c r="T99" i="13"/>
  <c r="R95" i="13"/>
  <c r="S95" i="13"/>
  <c r="R71" i="13"/>
  <c r="S71" i="13"/>
  <c r="R67" i="13"/>
  <c r="S67" i="13"/>
  <c r="T67" i="13"/>
  <c r="R63" i="13"/>
  <c r="S63" i="13"/>
  <c r="R59" i="13"/>
  <c r="S59" i="13"/>
  <c r="T59" i="13"/>
  <c r="T57" i="13"/>
  <c r="R57" i="13"/>
  <c r="S57" i="13"/>
  <c r="R9" i="13"/>
  <c r="T9" i="13"/>
  <c r="S9" i="13"/>
  <c r="R166" i="15"/>
  <c r="T166" i="15"/>
  <c r="S166" i="15"/>
  <c r="W166" i="15"/>
  <c r="R103" i="15"/>
  <c r="T103" i="15"/>
  <c r="W103" i="15"/>
  <c r="R22" i="15"/>
  <c r="S22" i="15"/>
  <c r="T22" i="15"/>
  <c r="W22" i="15"/>
  <c r="S13" i="15"/>
  <c r="W13" i="15"/>
  <c r="T13" i="15"/>
  <c r="R13" i="15"/>
  <c r="T165" i="16"/>
  <c r="S165" i="16"/>
  <c r="R165" i="16"/>
  <c r="R131" i="16"/>
  <c r="Y131" i="16"/>
  <c r="T131" i="16"/>
  <c r="S131" i="16"/>
  <c r="S61" i="16"/>
  <c r="R61" i="16"/>
  <c r="T61" i="16"/>
  <c r="Y61" i="16"/>
  <c r="W61" i="16"/>
  <c r="S30" i="16"/>
  <c r="Y30" i="16"/>
  <c r="T30" i="16"/>
  <c r="R133" i="17"/>
  <c r="Q133" i="17"/>
  <c r="X133" i="17"/>
  <c r="S133" i="17"/>
  <c r="Z133" i="17"/>
  <c r="T63" i="13"/>
  <c r="Y165" i="16"/>
  <c r="R268" i="13"/>
  <c r="T268" i="13"/>
  <c r="S268" i="13"/>
  <c r="W268" i="13"/>
  <c r="R267" i="13"/>
  <c r="S267" i="13"/>
  <c r="W267" i="13"/>
  <c r="T267" i="13"/>
  <c r="R266" i="13"/>
  <c r="S266" i="13"/>
  <c r="W266" i="13"/>
  <c r="T266" i="13"/>
  <c r="R249" i="13"/>
  <c r="T249" i="13"/>
  <c r="S249" i="13"/>
  <c r="W249" i="13"/>
  <c r="R248" i="13"/>
  <c r="S248" i="13"/>
  <c r="W248" i="13"/>
  <c r="T248" i="13"/>
  <c r="R247" i="13"/>
  <c r="S247" i="13"/>
  <c r="W247" i="13"/>
  <c r="T247" i="13"/>
  <c r="R246" i="13"/>
  <c r="S246" i="13"/>
  <c r="W246" i="13"/>
  <c r="T246" i="13"/>
  <c r="R245" i="13"/>
  <c r="S245" i="13"/>
  <c r="W245" i="13"/>
  <c r="T245" i="13"/>
  <c r="R241" i="13"/>
  <c r="S241" i="13"/>
  <c r="T241" i="13"/>
  <c r="R203" i="13"/>
  <c r="S203" i="13"/>
  <c r="T203" i="13"/>
  <c r="R134" i="13"/>
  <c r="S134" i="13"/>
  <c r="T134" i="13"/>
  <c r="R120" i="13"/>
  <c r="S120" i="13"/>
  <c r="T120" i="13"/>
  <c r="R47" i="13"/>
  <c r="T47" i="13"/>
  <c r="S47" i="13"/>
  <c r="R74" i="15"/>
  <c r="T74" i="15"/>
  <c r="W74" i="15"/>
  <c r="R50" i="15"/>
  <c r="T50" i="15"/>
  <c r="W50" i="15"/>
  <c r="S50" i="15"/>
  <c r="S166" i="16"/>
  <c r="W166" i="16"/>
  <c r="T166" i="16"/>
  <c r="Y166" i="16"/>
  <c r="R166" i="16"/>
  <c r="R34" i="16"/>
  <c r="Y34" i="16"/>
  <c r="S34" i="16"/>
  <c r="T34" i="16"/>
  <c r="X146" i="17"/>
  <c r="Z146" i="17"/>
  <c r="R146" i="17"/>
  <c r="S146" i="17"/>
  <c r="W134" i="13"/>
  <c r="W263" i="13"/>
  <c r="T103" i="13"/>
  <c r="R270" i="13"/>
  <c r="S270" i="13"/>
  <c r="T270" i="13"/>
  <c r="R259" i="13"/>
  <c r="S259" i="13"/>
  <c r="T259" i="13"/>
  <c r="R251" i="13"/>
  <c r="S251" i="13"/>
  <c r="T251" i="13"/>
  <c r="R231" i="13"/>
  <c r="T231" i="13"/>
  <c r="W231" i="13"/>
  <c r="S231" i="13"/>
  <c r="R211" i="13"/>
  <c r="T211" i="13"/>
  <c r="W211" i="13"/>
  <c r="R191" i="13"/>
  <c r="S191" i="13"/>
  <c r="T191" i="13"/>
  <c r="R187" i="13"/>
  <c r="S187" i="13"/>
  <c r="T187" i="13"/>
  <c r="R183" i="13"/>
  <c r="S183" i="13"/>
  <c r="T183" i="13"/>
  <c r="R160" i="13"/>
  <c r="T160" i="13"/>
  <c r="W160" i="13"/>
  <c r="S160" i="13"/>
  <c r="R144" i="13"/>
  <c r="T144" i="13"/>
  <c r="W144" i="13"/>
  <c r="S144" i="13"/>
  <c r="R142" i="13"/>
  <c r="S142" i="13"/>
  <c r="T142" i="13"/>
  <c r="R136" i="13"/>
  <c r="S136" i="13"/>
  <c r="T136" i="13"/>
  <c r="R85" i="13"/>
  <c r="S85" i="13"/>
  <c r="T85" i="13"/>
  <c r="R49" i="13"/>
  <c r="T49" i="13"/>
  <c r="R44" i="13"/>
  <c r="T44" i="13"/>
  <c r="R16" i="13"/>
  <c r="T16" i="13"/>
  <c r="S16" i="13"/>
  <c r="S148" i="15"/>
  <c r="T148" i="15"/>
  <c r="R148" i="15"/>
  <c r="R59" i="15"/>
  <c r="W59" i="15"/>
  <c r="S59" i="15"/>
  <c r="R55" i="15"/>
  <c r="S55" i="15"/>
  <c r="T55" i="15"/>
  <c r="S40" i="15"/>
  <c r="T40" i="15"/>
  <c r="R40" i="15"/>
  <c r="T19" i="15"/>
  <c r="R19" i="15"/>
  <c r="S19" i="15"/>
  <c r="S17" i="15"/>
  <c r="W17" i="15"/>
  <c r="T17" i="15"/>
  <c r="R17" i="15"/>
  <c r="T107" i="16"/>
  <c r="S107" i="16"/>
  <c r="W107" i="16"/>
  <c r="Y107" i="16"/>
  <c r="R57" i="16"/>
  <c r="T57" i="16"/>
  <c r="Y57" i="16"/>
  <c r="S57" i="16"/>
  <c r="Z166" i="17"/>
  <c r="S166" i="17"/>
  <c r="R30" i="16"/>
  <c r="S103" i="15"/>
  <c r="S152" i="13"/>
  <c r="S211" i="13"/>
  <c r="S239" i="13"/>
  <c r="W251" i="13"/>
  <c r="W270" i="13"/>
  <c r="T95" i="13"/>
  <c r="R221" i="13"/>
  <c r="S221" i="13"/>
  <c r="T221" i="13"/>
  <c r="R217" i="13"/>
  <c r="S217" i="13"/>
  <c r="T217" i="13"/>
  <c r="R213" i="13"/>
  <c r="T213" i="13"/>
  <c r="S213" i="13"/>
  <c r="R197" i="13"/>
  <c r="W197" i="13"/>
  <c r="S197" i="13"/>
  <c r="R167" i="13"/>
  <c r="S167" i="13"/>
  <c r="T167" i="13"/>
  <c r="R166" i="13"/>
  <c r="S166" i="13"/>
  <c r="W166" i="13"/>
  <c r="T166" i="13"/>
  <c r="R165" i="13"/>
  <c r="T165" i="13"/>
  <c r="S165" i="13"/>
  <c r="W165" i="13"/>
  <c r="R164" i="13"/>
  <c r="S164" i="13"/>
  <c r="W164" i="13"/>
  <c r="T164" i="13"/>
  <c r="R163" i="13"/>
  <c r="T163" i="13"/>
  <c r="S163" i="13"/>
  <c r="W163" i="13"/>
  <c r="R162" i="13"/>
  <c r="S162" i="13"/>
  <c r="W162" i="13"/>
  <c r="T162" i="13"/>
  <c r="R156" i="13"/>
  <c r="S156" i="13"/>
  <c r="R146" i="13"/>
  <c r="S146" i="13"/>
  <c r="T146" i="13"/>
  <c r="R130" i="13"/>
  <c r="S130" i="13"/>
  <c r="T130" i="13"/>
  <c r="R126" i="13"/>
  <c r="S126" i="13"/>
  <c r="R55" i="13"/>
  <c r="T55" i="13"/>
  <c r="W55" i="13"/>
  <c r="S55" i="13"/>
  <c r="S144" i="16"/>
  <c r="T144" i="16"/>
  <c r="R144" i="16"/>
  <c r="Y144" i="16"/>
  <c r="R118" i="16"/>
  <c r="T118" i="16"/>
  <c r="Y118" i="16"/>
  <c r="S118" i="16"/>
  <c r="S101" i="16"/>
  <c r="W101" i="16"/>
  <c r="T101" i="16"/>
  <c r="R101" i="16"/>
  <c r="R96" i="16"/>
  <c r="W96" i="16"/>
  <c r="T96" i="16"/>
  <c r="Y96" i="16"/>
  <c r="S96" i="16"/>
  <c r="X120" i="17"/>
  <c r="V120" i="17"/>
  <c r="Q120" i="17"/>
  <c r="Z120" i="17"/>
  <c r="S114" i="17"/>
  <c r="R114" i="17"/>
  <c r="Q114" i="17"/>
  <c r="X114" i="17"/>
  <c r="X20" i="17"/>
  <c r="K59" i="20"/>
  <c r="F199" i="22"/>
  <c r="K150" i="20"/>
  <c r="F90" i="22"/>
  <c r="F120" i="20"/>
  <c r="K62" i="20"/>
  <c r="E144" i="20"/>
  <c r="E184" i="20"/>
  <c r="R16" i="17"/>
  <c r="F109" i="22"/>
  <c r="K110" i="20"/>
  <c r="G152" i="20"/>
  <c r="S151" i="13"/>
  <c r="S210" i="13"/>
  <c r="S238" i="13"/>
  <c r="W256" i="13"/>
  <c r="W260" i="13"/>
  <c r="W264" i="13"/>
  <c r="T240" i="13"/>
  <c r="Q20" i="17"/>
  <c r="S160" i="15"/>
  <c r="F22" i="20"/>
  <c r="S20" i="17"/>
  <c r="T157" i="13"/>
  <c r="T127" i="13"/>
  <c r="T121" i="13"/>
  <c r="T116" i="13"/>
  <c r="T115" i="13"/>
  <c r="T114" i="13"/>
  <c r="T113" i="13"/>
  <c r="T112" i="13"/>
  <c r="T111" i="13"/>
  <c r="T110" i="13"/>
  <c r="T109" i="13"/>
  <c r="T108" i="13"/>
  <c r="T107" i="13"/>
  <c r="T106" i="13"/>
  <c r="T105" i="13"/>
  <c r="T104" i="13"/>
  <c r="T100" i="13"/>
  <c r="T96" i="13"/>
  <c r="T92" i="13"/>
  <c r="T91" i="13"/>
  <c r="T90" i="13"/>
  <c r="T89" i="13"/>
  <c r="T88" i="13"/>
  <c r="T87" i="13"/>
  <c r="T86" i="13"/>
  <c r="T82" i="13"/>
  <c r="T81" i="13"/>
  <c r="T80" i="13"/>
  <c r="T79" i="13"/>
  <c r="T78" i="13"/>
  <c r="T77" i="13"/>
  <c r="T76" i="13"/>
  <c r="T75" i="13"/>
  <c r="T74" i="13"/>
  <c r="T73" i="13"/>
  <c r="T72" i="13"/>
  <c r="T68" i="13"/>
  <c r="T64" i="13"/>
  <c r="T60" i="13"/>
  <c r="T45" i="13"/>
  <c r="T35" i="13"/>
  <c r="T34" i="13"/>
  <c r="T33" i="13"/>
  <c r="T32" i="13"/>
  <c r="T31" i="13"/>
  <c r="T30" i="13"/>
  <c r="T29" i="13"/>
  <c r="T28" i="13"/>
  <c r="T27" i="13"/>
  <c r="T26" i="13"/>
  <c r="T25" i="13"/>
  <c r="T24" i="13"/>
  <c r="T23" i="13"/>
  <c r="T22" i="13"/>
  <c r="T21" i="13"/>
  <c r="T20" i="13"/>
  <c r="T19" i="13"/>
  <c r="T18" i="13"/>
  <c r="T17" i="13"/>
  <c r="S7" i="13"/>
  <c r="T4" i="13"/>
  <c r="T158" i="15"/>
  <c r="S156" i="15"/>
  <c r="W156" i="15"/>
  <c r="T156" i="15"/>
  <c r="R117" i="15"/>
  <c r="S116" i="15"/>
  <c r="T116" i="15"/>
  <c r="T112" i="15"/>
  <c r="R78" i="15"/>
  <c r="S78" i="15"/>
  <c r="R63" i="15"/>
  <c r="S63" i="15"/>
  <c r="R30" i="15"/>
  <c r="S30" i="15"/>
  <c r="R23" i="15"/>
  <c r="S23" i="15"/>
  <c r="S15" i="15"/>
  <c r="W15" i="15"/>
  <c r="T15" i="15"/>
  <c r="T11" i="15"/>
  <c r="S108" i="16"/>
  <c r="R108" i="16"/>
  <c r="R67" i="16"/>
  <c r="Y67" i="16"/>
  <c r="T67" i="16"/>
  <c r="S63" i="16"/>
  <c r="R63" i="16"/>
  <c r="Y63" i="16"/>
  <c r="R50" i="16"/>
  <c r="S50" i="16"/>
  <c r="W50" i="16"/>
  <c r="Y46" i="16"/>
  <c r="R46" i="16"/>
  <c r="Y19" i="16"/>
  <c r="S19" i="16"/>
  <c r="S16" i="16"/>
  <c r="W16" i="16"/>
  <c r="T16" i="16"/>
  <c r="Y16" i="16"/>
  <c r="R76" i="17"/>
  <c r="Z76" i="17"/>
  <c r="V76" i="17"/>
  <c r="Q56" i="17"/>
  <c r="X56" i="17"/>
  <c r="R56" i="17"/>
  <c r="Z56" i="17"/>
  <c r="S56" i="17"/>
  <c r="R36" i="17"/>
  <c r="Z36" i="17"/>
  <c r="G153" i="18"/>
  <c r="F153" i="18"/>
  <c r="H153" i="18"/>
  <c r="K153" i="18" s="1"/>
  <c r="E153" i="18"/>
  <c r="G103" i="18"/>
  <c r="E103" i="18"/>
  <c r="H103" i="18"/>
  <c r="K103" i="18" s="1"/>
  <c r="G97" i="18"/>
  <c r="E97" i="18"/>
  <c r="H97" i="18"/>
  <c r="K97" i="18" s="1"/>
  <c r="G87" i="18"/>
  <c r="E87" i="18"/>
  <c r="H87" i="18"/>
  <c r="K87" i="18" s="1"/>
  <c r="G81" i="18"/>
  <c r="E81" i="18"/>
  <c r="H81" i="18"/>
  <c r="K81" i="18" s="1"/>
  <c r="G71" i="18"/>
  <c r="E71" i="18"/>
  <c r="H71" i="18"/>
  <c r="K71" i="18" s="1"/>
  <c r="G65" i="18"/>
  <c r="E65" i="18"/>
  <c r="H65" i="18"/>
  <c r="K65" i="18" s="1"/>
  <c r="K99" i="22"/>
  <c r="F150" i="20"/>
  <c r="K120" i="20"/>
  <c r="S196" i="13"/>
  <c r="S200" i="13"/>
  <c r="S214" i="13"/>
  <c r="S222" i="13"/>
  <c r="S242" i="13"/>
  <c r="W115" i="13"/>
  <c r="W114" i="13"/>
  <c r="W113" i="13"/>
  <c r="W112" i="13"/>
  <c r="W111" i="13"/>
  <c r="W110" i="13"/>
  <c r="W109" i="13"/>
  <c r="W108" i="13"/>
  <c r="W107" i="13"/>
  <c r="W106" i="13"/>
  <c r="W105" i="13"/>
  <c r="W104" i="13"/>
  <c r="W91" i="13"/>
  <c r="W90" i="13"/>
  <c r="W89" i="13"/>
  <c r="W88" i="13"/>
  <c r="W87" i="13"/>
  <c r="W86" i="13"/>
  <c r="W81" i="13"/>
  <c r="W80" i="13"/>
  <c r="W79" i="13"/>
  <c r="W78" i="13"/>
  <c r="W77" i="13"/>
  <c r="W76" i="13"/>
  <c r="W75" i="13"/>
  <c r="W74" i="13"/>
  <c r="W73" i="13"/>
  <c r="W72" i="13"/>
  <c r="W34" i="13"/>
  <c r="W33" i="13"/>
  <c r="W32" i="13"/>
  <c r="W31" i="13"/>
  <c r="W30" i="13"/>
  <c r="W29" i="13"/>
  <c r="W28" i="13"/>
  <c r="W27" i="13"/>
  <c r="W26" i="13"/>
  <c r="W25" i="13"/>
  <c r="W24" i="13"/>
  <c r="W23" i="13"/>
  <c r="W22" i="13"/>
  <c r="W21" i="13"/>
  <c r="W20" i="13"/>
  <c r="W19" i="13"/>
  <c r="W18" i="13"/>
  <c r="W17" i="13"/>
  <c r="R7" i="13"/>
  <c r="S4" i="13"/>
  <c r="W158" i="15"/>
  <c r="S158" i="15"/>
  <c r="S18" i="15"/>
  <c r="T18" i="15"/>
  <c r="S14" i="15"/>
  <c r="W14" i="15"/>
  <c r="T14" i="15"/>
  <c r="R102" i="16"/>
  <c r="T102" i="16"/>
  <c r="Y102" i="16"/>
  <c r="R94" i="16"/>
  <c r="S94" i="16"/>
  <c r="W94" i="16"/>
  <c r="S91" i="16"/>
  <c r="R91" i="16"/>
  <c r="S74" i="16"/>
  <c r="W74" i="16"/>
  <c r="T74" i="16"/>
  <c r="Y74" i="16"/>
  <c r="Y36" i="16"/>
  <c r="S36" i="16"/>
  <c r="Q164" i="17"/>
  <c r="R164" i="17"/>
  <c r="V164" i="17"/>
  <c r="Q57" i="17"/>
  <c r="X57" i="17"/>
  <c r="R57" i="17"/>
  <c r="Z57" i="17"/>
  <c r="S57" i="17"/>
  <c r="Q58" i="17"/>
  <c r="R58" i="17"/>
  <c r="V58" i="17"/>
  <c r="S58" i="17"/>
  <c r="Z58" i="17"/>
  <c r="X58" i="17"/>
  <c r="Q54" i="17"/>
  <c r="X54" i="17"/>
  <c r="R54" i="17"/>
  <c r="Z54" i="17"/>
  <c r="S54" i="17"/>
  <c r="X16" i="17"/>
  <c r="Q16" i="17"/>
  <c r="Q13" i="17"/>
  <c r="R13" i="17"/>
  <c r="V13" i="17"/>
  <c r="S13" i="17"/>
  <c r="Z13" i="17"/>
  <c r="X13" i="17"/>
  <c r="G137" i="18"/>
  <c r="F137" i="18"/>
  <c r="H137" i="18"/>
  <c r="K137" i="18" s="1"/>
  <c r="E137" i="18"/>
  <c r="F139" i="20"/>
  <c r="E139" i="20"/>
  <c r="G139" i="20"/>
  <c r="E91" i="20"/>
  <c r="G91" i="20"/>
  <c r="E59" i="20"/>
  <c r="G59" i="20"/>
  <c r="F42" i="20"/>
  <c r="E42" i="20"/>
  <c r="G42" i="20"/>
  <c r="F25" i="20"/>
  <c r="G25" i="20"/>
  <c r="E25" i="20"/>
  <c r="G7" i="20"/>
  <c r="E7" i="20"/>
  <c r="F7" i="20"/>
  <c r="E124" i="22"/>
  <c r="G124" i="22"/>
  <c r="F124" i="22"/>
  <c r="F73" i="22"/>
  <c r="K73" i="22"/>
  <c r="E73" i="22"/>
  <c r="S132" i="15"/>
  <c r="T132" i="15"/>
  <c r="S96" i="15"/>
  <c r="W96" i="15"/>
  <c r="T96" i="15"/>
  <c r="R67" i="15"/>
  <c r="S67" i="15"/>
  <c r="R46" i="15"/>
  <c r="S46" i="15"/>
  <c r="W46" i="15"/>
  <c r="S16" i="15"/>
  <c r="W16" i="15"/>
  <c r="T16" i="15"/>
  <c r="S12" i="15"/>
  <c r="W12" i="15"/>
  <c r="T12" i="15"/>
  <c r="S160" i="16"/>
  <c r="W160" i="16"/>
  <c r="T160" i="16"/>
  <c r="Y160" i="16"/>
  <c r="S117" i="16"/>
  <c r="W117" i="16"/>
  <c r="S56" i="16"/>
  <c r="W56" i="16"/>
  <c r="R53" i="16"/>
  <c r="Y53" i="16"/>
  <c r="S53" i="16"/>
  <c r="T52" i="16"/>
  <c r="R52" i="16"/>
  <c r="Y52" i="16"/>
  <c r="S42" i="16"/>
  <c r="W42" i="16"/>
  <c r="T42" i="16"/>
  <c r="Y42" i="16"/>
  <c r="Y38" i="16"/>
  <c r="T38" i="16"/>
  <c r="S20" i="16"/>
  <c r="T20" i="16"/>
  <c r="Q152" i="17"/>
  <c r="X152" i="17"/>
  <c r="S152" i="17"/>
  <c r="Q134" i="17"/>
  <c r="X134" i="17"/>
  <c r="S134" i="17"/>
  <c r="V72" i="17"/>
  <c r="Q55" i="17"/>
  <c r="X55" i="17"/>
  <c r="R55" i="17"/>
  <c r="Z55" i="17"/>
  <c r="S55" i="17"/>
  <c r="G145" i="18"/>
  <c r="F145" i="18"/>
  <c r="H145" i="18"/>
  <c r="K145" i="18" s="1"/>
  <c r="E145" i="18"/>
  <c r="H40" i="18"/>
  <c r="K40" i="18" s="1"/>
  <c r="E40" i="18"/>
  <c r="G40" i="18"/>
  <c r="F40" i="18"/>
  <c r="Y104" i="16"/>
  <c r="Y80" i="16"/>
  <c r="Y78" i="16"/>
  <c r="Y65" i="16"/>
  <c r="Y6" i="16"/>
  <c r="Y4" i="16"/>
  <c r="X148" i="17"/>
  <c r="Z109" i="17"/>
  <c r="S106" i="17"/>
  <c r="S82" i="17"/>
  <c r="S69" i="17"/>
  <c r="S67" i="17"/>
  <c r="Q60" i="17"/>
  <c r="R22" i="17"/>
  <c r="Q15" i="17"/>
  <c r="G105" i="18"/>
  <c r="E105" i="18"/>
  <c r="H105" i="18"/>
  <c r="K105" i="18" s="1"/>
  <c r="G95" i="18"/>
  <c r="E95" i="18"/>
  <c r="H95" i="18"/>
  <c r="K95" i="18" s="1"/>
  <c r="G89" i="18"/>
  <c r="E89" i="18"/>
  <c r="H89" i="18"/>
  <c r="K89" i="18" s="1"/>
  <c r="G79" i="18"/>
  <c r="E79" i="18"/>
  <c r="H79" i="18"/>
  <c r="K79" i="18" s="1"/>
  <c r="G73" i="18"/>
  <c r="E73" i="18"/>
  <c r="H73" i="18"/>
  <c r="K73" i="18" s="1"/>
  <c r="G63" i="18"/>
  <c r="E63" i="18"/>
  <c r="H63" i="18"/>
  <c r="K63" i="18" s="1"/>
  <c r="G59" i="18"/>
  <c r="E59" i="18"/>
  <c r="H59" i="18"/>
  <c r="K59" i="18" s="1"/>
  <c r="H49" i="18"/>
  <c r="K49" i="18" s="1"/>
  <c r="F49" i="18"/>
  <c r="E49" i="18"/>
  <c r="G49" i="18"/>
  <c r="E28" i="18"/>
  <c r="G28" i="18"/>
  <c r="H28" i="18"/>
  <c r="K28" i="18" s="1"/>
  <c r="F28" i="18"/>
  <c r="H7" i="18"/>
  <c r="K7" i="18" s="1"/>
  <c r="F7" i="18"/>
  <c r="E7" i="18"/>
  <c r="G7" i="18"/>
  <c r="F5" i="18"/>
  <c r="E5" i="18"/>
  <c r="H5" i="18"/>
  <c r="K5" i="18" s="1"/>
  <c r="G5" i="18"/>
  <c r="E170" i="20"/>
  <c r="F170" i="20"/>
  <c r="K170" i="20"/>
  <c r="G170" i="20"/>
  <c r="F157" i="20"/>
  <c r="E157" i="20"/>
  <c r="G157" i="20"/>
  <c r="E123" i="20"/>
  <c r="G123" i="20"/>
  <c r="G82" i="20"/>
  <c r="F82" i="20"/>
  <c r="G44" i="20"/>
  <c r="E44" i="20"/>
  <c r="K44" i="20"/>
  <c r="F44" i="20"/>
  <c r="X106" i="17"/>
  <c r="Q82" i="17"/>
  <c r="Q68" i="17"/>
  <c r="X68" i="17"/>
  <c r="Q66" i="17"/>
  <c r="X66" i="17"/>
  <c r="Q63" i="17"/>
  <c r="S63" i="17"/>
  <c r="X63" i="17"/>
  <c r="R61" i="17"/>
  <c r="Q61" i="17"/>
  <c r="Z23" i="17"/>
  <c r="R23" i="17"/>
  <c r="R17" i="17"/>
  <c r="V17" i="17"/>
  <c r="S17" i="17"/>
  <c r="X17" i="17"/>
  <c r="E166" i="18"/>
  <c r="F166" i="18"/>
  <c r="H166" i="18"/>
  <c r="K166" i="18" s="1"/>
  <c r="H116" i="18"/>
  <c r="K116" i="18" s="1"/>
  <c r="F116" i="18"/>
  <c r="E116" i="18"/>
  <c r="G116" i="18"/>
  <c r="F104" i="18"/>
  <c r="E104" i="18"/>
  <c r="F88" i="18"/>
  <c r="E88" i="18"/>
  <c r="F72" i="18"/>
  <c r="E72" i="18"/>
  <c r="F59" i="18"/>
  <c r="H56" i="18"/>
  <c r="K56" i="18" s="1"/>
  <c r="E56" i="18"/>
  <c r="G56" i="18"/>
  <c r="F56" i="18"/>
  <c r="G43" i="18"/>
  <c r="E43" i="18"/>
  <c r="H43" i="18"/>
  <c r="K43" i="18" s="1"/>
  <c r="G31" i="18"/>
  <c r="E31" i="18"/>
  <c r="F31" i="18"/>
  <c r="H31" i="18"/>
  <c r="K31" i="18" s="1"/>
  <c r="H27" i="18"/>
  <c r="K27" i="18" s="1"/>
  <c r="F27" i="18"/>
  <c r="E27" i="18"/>
  <c r="G27" i="18"/>
  <c r="G187" i="20"/>
  <c r="K187" i="20"/>
  <c r="E187" i="20"/>
  <c r="G183" i="20"/>
  <c r="K183" i="20"/>
  <c r="F183" i="20"/>
  <c r="E183" i="20"/>
  <c r="F166" i="20"/>
  <c r="E166" i="20"/>
  <c r="K166" i="20"/>
  <c r="G166" i="20"/>
  <c r="E60" i="20"/>
  <c r="F60" i="20"/>
  <c r="G60" i="20"/>
  <c r="K60" i="20"/>
  <c r="G19" i="20"/>
  <c r="E19" i="20"/>
  <c r="K19" i="20"/>
  <c r="F19" i="20"/>
  <c r="G189" i="22"/>
  <c r="E189" i="22"/>
  <c r="G181" i="22"/>
  <c r="E181" i="22"/>
  <c r="R72" i="17"/>
  <c r="Z72" i="17"/>
  <c r="Q69" i="17"/>
  <c r="X69" i="17"/>
  <c r="Q67" i="17"/>
  <c r="X67" i="17"/>
  <c r="R60" i="17"/>
  <c r="V60" i="17"/>
  <c r="S60" i="17"/>
  <c r="X60" i="17"/>
  <c r="Q22" i="17"/>
  <c r="V22" i="17"/>
  <c r="R15" i="17"/>
  <c r="V15" i="17"/>
  <c r="S15" i="17"/>
  <c r="X15" i="17"/>
  <c r="H167" i="18"/>
  <c r="K167" i="18" s="1"/>
  <c r="E167" i="18"/>
  <c r="G161" i="18"/>
  <c r="E161" i="18"/>
  <c r="F127" i="18"/>
  <c r="G127" i="18"/>
  <c r="H127" i="18"/>
  <c r="K127" i="18" s="1"/>
  <c r="H114" i="18"/>
  <c r="K114" i="18" s="1"/>
  <c r="F114" i="18"/>
  <c r="E114" i="18"/>
  <c r="G114" i="18"/>
  <c r="F96" i="18"/>
  <c r="E96" i="18"/>
  <c r="F80" i="18"/>
  <c r="E80" i="18"/>
  <c r="F64" i="18"/>
  <c r="E64" i="18"/>
  <c r="H29" i="18"/>
  <c r="K29" i="18" s="1"/>
  <c r="G29" i="18"/>
  <c r="E29" i="18"/>
  <c r="F29" i="18"/>
  <c r="F8" i="18"/>
  <c r="H8" i="18"/>
  <c r="K8" i="18" s="1"/>
  <c r="G8" i="18"/>
  <c r="E8" i="18"/>
  <c r="G182" i="20"/>
  <c r="F182" i="20"/>
  <c r="E182" i="20"/>
  <c r="K182" i="20"/>
  <c r="E179" i="20"/>
  <c r="F179" i="20"/>
  <c r="K179" i="20"/>
  <c r="G179" i="20"/>
  <c r="K143" i="20"/>
  <c r="E143" i="20"/>
  <c r="F114" i="20"/>
  <c r="E114" i="20"/>
  <c r="G114" i="20"/>
  <c r="G93" i="20"/>
  <c r="E93" i="20"/>
  <c r="G58" i="20"/>
  <c r="E58" i="20"/>
  <c r="F58" i="20"/>
  <c r="E130" i="22"/>
  <c r="G130" i="22"/>
  <c r="F130" i="22"/>
  <c r="K130" i="22"/>
  <c r="X65" i="17"/>
  <c r="X64" i="17"/>
  <c r="X38" i="17"/>
  <c r="X6" i="17"/>
  <c r="X5" i="17"/>
  <c r="F170" i="18"/>
  <c r="G170" i="18"/>
  <c r="F162" i="18"/>
  <c r="G162" i="18"/>
  <c r="F157" i="18"/>
  <c r="H154" i="18"/>
  <c r="K154" i="18" s="1"/>
  <c r="F149" i="18"/>
  <c r="H146" i="18"/>
  <c r="K146" i="18" s="1"/>
  <c r="F141" i="18"/>
  <c r="H138" i="18"/>
  <c r="K138" i="18" s="1"/>
  <c r="E130" i="18"/>
  <c r="G130" i="18"/>
  <c r="E128" i="18"/>
  <c r="H120" i="18"/>
  <c r="K120" i="18" s="1"/>
  <c r="H118" i="18"/>
  <c r="K118" i="18" s="1"/>
  <c r="E112" i="18"/>
  <c r="E110" i="18"/>
  <c r="E93" i="18"/>
  <c r="E77" i="18"/>
  <c r="H61" i="18"/>
  <c r="K61" i="18" s="1"/>
  <c r="G60" i="18"/>
  <c r="E53" i="18"/>
  <c r="H52" i="18"/>
  <c r="K52" i="18" s="1"/>
  <c r="E47" i="18"/>
  <c r="G47" i="18"/>
  <c r="H45" i="18"/>
  <c r="K45" i="18" s="1"/>
  <c r="G44" i="18"/>
  <c r="E37" i="18"/>
  <c r="H36" i="18"/>
  <c r="K36" i="18" s="1"/>
  <c r="E33" i="18"/>
  <c r="H24" i="18"/>
  <c r="K24" i="18" s="1"/>
  <c r="H23" i="18"/>
  <c r="K23" i="18" s="1"/>
  <c r="H21" i="18"/>
  <c r="K21" i="18" s="1"/>
  <c r="E13" i="18"/>
  <c r="E11" i="18"/>
  <c r="F11" i="18"/>
  <c r="F4" i="18"/>
  <c r="G190" i="20"/>
  <c r="G178" i="20"/>
  <c r="K171" i="20"/>
  <c r="G167" i="20"/>
  <c r="G158" i="20"/>
  <c r="K149" i="20"/>
  <c r="G141" i="20"/>
  <c r="G140" i="20"/>
  <c r="K133" i="20"/>
  <c r="E128" i="20"/>
  <c r="K128" i="20"/>
  <c r="F128" i="20"/>
  <c r="G108" i="20"/>
  <c r="F94" i="20"/>
  <c r="G94" i="20"/>
  <c r="F50" i="20"/>
  <c r="E26" i="20"/>
  <c r="G26" i="20"/>
  <c r="G18" i="20"/>
  <c r="F11" i="20"/>
  <c r="K11" i="20"/>
  <c r="G156" i="22"/>
  <c r="E156" i="22"/>
  <c r="F138" i="22"/>
  <c r="K138" i="22"/>
  <c r="F134" i="22"/>
  <c r="G134" i="22"/>
  <c r="K134" i="22"/>
  <c r="E134" i="22"/>
  <c r="F69" i="22"/>
  <c r="K69" i="22"/>
  <c r="E69" i="22"/>
  <c r="H55" i="18"/>
  <c r="K55" i="18" s="1"/>
  <c r="H39" i="18"/>
  <c r="K39" i="18" s="1"/>
  <c r="E24" i="18"/>
  <c r="G15" i="18"/>
  <c r="E15" i="18"/>
  <c r="E12" i="18"/>
  <c r="G12" i="18"/>
  <c r="E4" i="18"/>
  <c r="G174" i="20"/>
  <c r="E174" i="20"/>
  <c r="F167" i="20"/>
  <c r="E164" i="20"/>
  <c r="K164" i="20"/>
  <c r="F164" i="20"/>
  <c r="F162" i="20"/>
  <c r="G162" i="20"/>
  <c r="E155" i="20"/>
  <c r="F155" i="20"/>
  <c r="F141" i="20"/>
  <c r="F108" i="20"/>
  <c r="E99" i="20"/>
  <c r="G99" i="20"/>
  <c r="E70" i="20"/>
  <c r="G70" i="20"/>
  <c r="F70" i="20"/>
  <c r="G27" i="20"/>
  <c r="F27" i="20"/>
  <c r="E17" i="20"/>
  <c r="F17" i="20"/>
  <c r="E200" i="22"/>
  <c r="K200" i="22"/>
  <c r="G200" i="22"/>
  <c r="F200" i="22"/>
  <c r="E162" i="22"/>
  <c r="G162" i="22"/>
  <c r="F155" i="22"/>
  <c r="K155" i="22"/>
  <c r="G155" i="22"/>
  <c r="E155" i="22"/>
  <c r="E148" i="22"/>
  <c r="G148" i="22"/>
  <c r="E84" i="22"/>
  <c r="G84" i="22"/>
  <c r="F84" i="22"/>
  <c r="F64" i="22"/>
  <c r="E64" i="22"/>
  <c r="G64" i="22"/>
  <c r="F21" i="18"/>
  <c r="E21" i="18"/>
  <c r="F163" i="20"/>
  <c r="G163" i="20"/>
  <c r="E156" i="20"/>
  <c r="F156" i="20"/>
  <c r="F147" i="20"/>
  <c r="E147" i="20"/>
  <c r="G147" i="20"/>
  <c r="F131" i="20"/>
  <c r="E131" i="20"/>
  <c r="G131" i="20"/>
  <c r="E124" i="20"/>
  <c r="F124" i="20"/>
  <c r="K124" i="20"/>
  <c r="F33" i="20"/>
  <c r="E33" i="20"/>
  <c r="F6" i="20"/>
  <c r="E6" i="20"/>
  <c r="G6" i="20"/>
  <c r="G208" i="22"/>
  <c r="F208" i="22"/>
  <c r="K208" i="22"/>
  <c r="E208" i="22"/>
  <c r="F198" i="22"/>
  <c r="K198" i="22"/>
  <c r="E198" i="22"/>
  <c r="E165" i="22"/>
  <c r="G165" i="22"/>
  <c r="K165" i="22"/>
  <c r="E163" i="22"/>
  <c r="G163" i="22"/>
  <c r="K163" i="22"/>
  <c r="F163" i="22"/>
  <c r="G154" i="22"/>
  <c r="E154" i="22"/>
  <c r="F92" i="22"/>
  <c r="E92" i="22"/>
  <c r="G92" i="22"/>
  <c r="E51" i="22"/>
  <c r="G51" i="22"/>
  <c r="G42" i="22"/>
  <c r="E42" i="22"/>
  <c r="K42" i="22"/>
  <c r="F42" i="22"/>
  <c r="F14" i="22"/>
  <c r="G14" i="22"/>
  <c r="K159" i="20"/>
  <c r="K100" i="20"/>
  <c r="F100" i="20"/>
  <c r="F80" i="20"/>
  <c r="K68" i="20"/>
  <c r="K52" i="20"/>
  <c r="K214" i="22"/>
  <c r="F157" i="22"/>
  <c r="G147" i="22"/>
  <c r="F141" i="22"/>
  <c r="K133" i="22"/>
  <c r="G120" i="22"/>
  <c r="G112" i="22"/>
  <c r="E100" i="22"/>
  <c r="G100" i="22"/>
  <c r="G96" i="22"/>
  <c r="G88" i="22"/>
  <c r="F80" i="22"/>
  <c r="F60" i="22"/>
  <c r="G60" i="22"/>
  <c r="E58" i="22"/>
  <c r="K58" i="22"/>
  <c r="G58" i="22"/>
  <c r="G50" i="22"/>
  <c r="E50" i="22"/>
  <c r="K50" i="22"/>
  <c r="F50" i="22"/>
  <c r="G34" i="22"/>
  <c r="E34" i="22"/>
  <c r="K34" i="22"/>
  <c r="F34" i="22"/>
  <c r="F10" i="22"/>
  <c r="K10" i="22"/>
  <c r="F147" i="22"/>
  <c r="E141" i="22"/>
  <c r="E116" i="22"/>
  <c r="E80" i="22"/>
  <c r="E60" i="22"/>
  <c r="F58" i="22"/>
  <c r="F190" i="22"/>
  <c r="K190" i="22"/>
  <c r="F182" i="22"/>
  <c r="K182" i="22"/>
  <c r="E104" i="22"/>
  <c r="G104" i="22"/>
  <c r="F104" i="22"/>
  <c r="F65" i="22"/>
  <c r="K65" i="22"/>
  <c r="E57" i="22"/>
  <c r="G57" i="22"/>
  <c r="K68" i="22"/>
  <c r="G36" i="22"/>
  <c r="K16" i="22"/>
  <c r="E16" i="22"/>
  <c r="E8" i="22"/>
  <c r="E28" i="22"/>
  <c r="K28" i="22"/>
  <c r="K8" i="22"/>
  <c r="E7" i="22"/>
  <c r="K7" i="22"/>
  <c r="G28" i="22"/>
</calcChain>
</file>

<file path=xl/comments1.xml><?xml version="1.0" encoding="utf-8"?>
<comments xmlns="http://schemas.openxmlformats.org/spreadsheetml/2006/main">
  <authors>
    <author>user14</author>
  </authors>
  <commentList>
    <comment ref="A3" authorId="0" shapeId="0">
      <text>
        <r>
          <rPr>
            <b/>
            <sz val="8"/>
            <color indexed="81"/>
            <rFont val="Tahoma"/>
            <family val="2"/>
            <charset val="204"/>
          </rPr>
          <t>user14:</t>
        </r>
        <r>
          <rPr>
            <sz val="8"/>
            <color indexed="81"/>
            <rFont val="Tahoma"/>
            <family val="2"/>
            <charset val="204"/>
          </rPr>
          <t xml:space="preserve">
Выбрать  коллекцию</t>
        </r>
      </text>
    </comment>
  </commentList>
</comments>
</file>

<file path=xl/comments2.xml><?xml version="1.0" encoding="utf-8"?>
<comments xmlns="http://schemas.openxmlformats.org/spreadsheetml/2006/main">
  <authors>
    <author>user14</author>
  </authors>
  <commentList>
    <comment ref="A3" authorId="0" shapeId="0">
      <text>
        <r>
          <rPr>
            <b/>
            <sz val="8"/>
            <color indexed="81"/>
            <rFont val="Tahoma"/>
            <family val="2"/>
            <charset val="204"/>
          </rPr>
          <t>user14:</t>
        </r>
        <r>
          <rPr>
            <sz val="8"/>
            <color indexed="81"/>
            <rFont val="Tahoma"/>
            <family val="2"/>
            <charset val="204"/>
          </rPr>
          <t xml:space="preserve">
Выбрать  коллекцию</t>
        </r>
      </text>
    </comment>
  </commentList>
</comments>
</file>

<file path=xl/comments3.xml><?xml version="1.0" encoding="utf-8"?>
<comments xmlns="http://schemas.openxmlformats.org/spreadsheetml/2006/main">
  <authors>
    <author>user14</author>
  </authors>
  <commentList>
    <comment ref="A3" authorId="0" shapeId="0">
      <text>
        <r>
          <rPr>
            <b/>
            <sz val="8"/>
            <color indexed="81"/>
            <rFont val="Tahoma"/>
            <family val="2"/>
            <charset val="204"/>
          </rPr>
          <t>user14:</t>
        </r>
        <r>
          <rPr>
            <sz val="8"/>
            <color indexed="81"/>
            <rFont val="Tahoma"/>
            <family val="2"/>
            <charset val="204"/>
          </rPr>
          <t xml:space="preserve">
Выбрать  коллекцию</t>
        </r>
      </text>
    </comment>
  </commentList>
</comments>
</file>

<file path=xl/sharedStrings.xml><?xml version="1.0" encoding="utf-8"?>
<sst xmlns="http://schemas.openxmlformats.org/spreadsheetml/2006/main" count="5218" uniqueCount="1257">
  <si>
    <t>648*720*196</t>
  </si>
  <si>
    <t>508*751*140</t>
  </si>
  <si>
    <t>571*751*140</t>
  </si>
  <si>
    <t>721*751*140</t>
  </si>
  <si>
    <t>971*884*140</t>
  </si>
  <si>
    <t>1171*884*140</t>
  </si>
  <si>
    <t>600*751*140</t>
  </si>
  <si>
    <t>700*751*140</t>
  </si>
  <si>
    <t>800*751*140</t>
  </si>
  <si>
    <t>558*720*196</t>
  </si>
  <si>
    <t>600*728*145</t>
  </si>
  <si>
    <t>700*728*145</t>
  </si>
  <si>
    <t>610*820*130</t>
  </si>
  <si>
    <t>600*820*180</t>
  </si>
  <si>
    <t>1160*720*196</t>
  </si>
  <si>
    <t>748*720*196</t>
  </si>
  <si>
    <t>NAMEIZDELIYA</t>
  </si>
  <si>
    <t>KOLVONP</t>
  </si>
  <si>
    <t>Вес брутто</t>
  </si>
  <si>
    <t>обьем, м3</t>
  </si>
  <si>
    <t>кол на палетте</t>
  </si>
  <si>
    <t>"Sanflor"Зеркало Альба 60</t>
  </si>
  <si>
    <t>"Sanflor"Зеркало Альфа</t>
  </si>
  <si>
    <t xml:space="preserve"> ящ. Для стекла</t>
  </si>
  <si>
    <t>"Sanflor"Зеркало Бэтта60</t>
  </si>
  <si>
    <t>"Sanflor"Зеркало Бэтта70</t>
  </si>
  <si>
    <t>"Sanflor"Зеркало Бэтта80</t>
  </si>
  <si>
    <t>"Sanflor"Зеркало Вита</t>
  </si>
  <si>
    <t>"Sanflor"Зеркало Ксения 80</t>
  </si>
  <si>
    <t>"Sanflor"Зеркало Марсель 55</t>
  </si>
  <si>
    <t>"Sanflor"Зеркало Марсель 60</t>
  </si>
  <si>
    <t>"Sanflor"Зеркало Мокко 60</t>
  </si>
  <si>
    <t>"Sanflor"Тумба Ксения 60</t>
  </si>
  <si>
    <t>"Sanflor"Тумба Ксения 60/2</t>
  </si>
  <si>
    <t>"Sanflor"Тумба Лилу 60 патина  золото</t>
  </si>
  <si>
    <t>"Sanflor"Тумба Лилу 60 патина серебро</t>
  </si>
  <si>
    <t>"Sanflor"Тумба Николь 55</t>
  </si>
  <si>
    <t>"Sanflor"Тумба Николь 65</t>
  </si>
  <si>
    <t>"Sanflor"Тумба Николь 75</t>
  </si>
  <si>
    <t>"Sanflor"Тумба Одри 60</t>
  </si>
  <si>
    <t>"Sanflor"Тумба Одри 60/2</t>
  </si>
  <si>
    <t>"Sanflor"Тумба Одри 70</t>
  </si>
  <si>
    <t>"Sanflor"Зеркало Венеция 60</t>
  </si>
  <si>
    <t>размер</t>
  </si>
  <si>
    <t>"Sanflor"Зеркало Сорренто 120</t>
  </si>
  <si>
    <t>Всего вес, гк.</t>
  </si>
  <si>
    <t>Всего V, м3</t>
  </si>
  <si>
    <t>Раковины Антик-55 Сантек (Элен 55, Каир 55, Марсель 55, Юна 55, Лина 55)</t>
  </si>
  <si>
    <t>Раковина Байкал-60 Сантек (Мокко 60, Ода 60, Лаура 60, Эмилия 60)</t>
  </si>
  <si>
    <t>Раковина Балтика-60 Сантек (Элен 60, Каир 60, Марсель 60)</t>
  </si>
  <si>
    <t>Раковина Стелла-65 Сантек (Марсель 65, Николь 65, Соната 65, Муза 65)</t>
  </si>
  <si>
    <t>Раковина Модерн-75 Сантек (Элен 75, Каир 75)</t>
  </si>
  <si>
    <t>Раковина Эльбрус-100 Сантек (Элен 100, Каир 100)</t>
  </si>
  <si>
    <t>Раковина Салигер-60 Сантек (Валлетта 60)</t>
  </si>
  <si>
    <t>Раковина Дрея-55 Дрея (Николь 55)</t>
  </si>
  <si>
    <t>Раковина Дрея-75 Дрея (Николь 75)</t>
  </si>
  <si>
    <t>Раковина Лагуна-120 Дрея (Элен 120, Каир 120)</t>
  </si>
  <si>
    <t>Раковина Гамма Дрея (Румба 60,82,120, Сорренто 120)</t>
  </si>
  <si>
    <t>Раковина Дрея Q60 (Бетта 60, Ларго 60, Ксения 60, Одри 60, Рондо 60)</t>
  </si>
  <si>
    <t>Раковина Дрея Q70 (Бетта 70, Ларго 70, Ксения 70, Одри 70)</t>
  </si>
  <si>
    <t>Раковина Дрея Q80 (Бетта 80, Ларго 80, Ксения 80, Одри 80)</t>
  </si>
  <si>
    <t>607*751*140</t>
  </si>
  <si>
    <t>550*730*265</t>
  </si>
  <si>
    <t>500*680*157</t>
  </si>
  <si>
    <t>550*680*157</t>
  </si>
  <si>
    <t>602*651*140</t>
  </si>
  <si>
    <t>614*744*180</t>
  </si>
  <si>
    <t>544*728*145</t>
  </si>
  <si>
    <t>618*728*145</t>
  </si>
  <si>
    <t>714*728*145</t>
  </si>
  <si>
    <t>1200*900*115</t>
  </si>
  <si>
    <t>1200*900*121</t>
  </si>
  <si>
    <t>820*900*121</t>
  </si>
  <si>
    <t>600*900*121</t>
  </si>
  <si>
    <t>580*744*180</t>
  </si>
  <si>
    <t>320*2000*336</t>
  </si>
  <si>
    <t>400*1950*320</t>
  </si>
  <si>
    <t>320*2000*297</t>
  </si>
  <si>
    <t>374*1730*320</t>
  </si>
  <si>
    <t>378*997*320</t>
  </si>
  <si>
    <t>400*1900*336</t>
  </si>
  <si>
    <t>400*1520*336</t>
  </si>
  <si>
    <t>400*1330*325</t>
  </si>
  <si>
    <t>320*1980*316</t>
  </si>
  <si>
    <t>300*2000*336</t>
  </si>
  <si>
    <t>400*1520*345</t>
  </si>
  <si>
    <t>280*700*320</t>
  </si>
  <si>
    <t>1000*900*522</t>
  </si>
  <si>
    <t>1200*900*490</t>
  </si>
  <si>
    <t>550*900*455</t>
  </si>
  <si>
    <t>610*910*445</t>
  </si>
  <si>
    <t>755*910*505</t>
  </si>
  <si>
    <t>600*635*475</t>
  </si>
  <si>
    <t>600*875*460</t>
  </si>
  <si>
    <t>700*635*475</t>
  </si>
  <si>
    <t>800*635*475</t>
  </si>
  <si>
    <t>1010*480*470</t>
  </si>
  <si>
    <t>600*950*478</t>
  </si>
  <si>
    <t>700*950*478</t>
  </si>
  <si>
    <t>800*950*478</t>
  </si>
  <si>
    <t>1200*890*463</t>
  </si>
  <si>
    <t>600*925*475</t>
  </si>
  <si>
    <t>700*925*475</t>
  </si>
  <si>
    <t>800*950*475</t>
  </si>
  <si>
    <t>550*890*450</t>
  </si>
  <si>
    <t>605*860*470</t>
  </si>
  <si>
    <t>650*890*490</t>
  </si>
  <si>
    <t>750*890*510</t>
  </si>
  <si>
    <t>600*915*475</t>
  </si>
  <si>
    <t>700*915*475</t>
  </si>
  <si>
    <t>1200*370*460</t>
  </si>
  <si>
    <t>1200*875*460</t>
  </si>
  <si>
    <t>1200*450*450</t>
  </si>
  <si>
    <t>820*450*450</t>
  </si>
  <si>
    <t>600*450*450</t>
  </si>
  <si>
    <t>650*870*490</t>
  </si>
  <si>
    <t>550*455*210</t>
  </si>
  <si>
    <t>600*465*180</t>
  </si>
  <si>
    <t>610*450*190</t>
  </si>
  <si>
    <t>650*490*210</t>
  </si>
  <si>
    <t>1000*520*200</t>
  </si>
  <si>
    <t>755*505*215</t>
  </si>
  <si>
    <t>550*700*450</t>
  </si>
  <si>
    <t>750*750*510</t>
  </si>
  <si>
    <t>1200*650*490</t>
  </si>
  <si>
    <t>600*460*170</t>
  </si>
  <si>
    <t>1200*460*180</t>
  </si>
  <si>
    <t>1000*460*180</t>
  </si>
  <si>
    <t>1200*460*200</t>
  </si>
  <si>
    <t>560*370*170</t>
  </si>
  <si>
    <t>600*475*90</t>
  </si>
  <si>
    <t>700*475*90</t>
  </si>
  <si>
    <t>800*475*90</t>
  </si>
  <si>
    <t>Набор</t>
  </si>
  <si>
    <t>Венеция</t>
  </si>
  <si>
    <t>Бэтта</t>
  </si>
  <si>
    <t xml:space="preserve">Белла </t>
  </si>
  <si>
    <t>Каир</t>
  </si>
  <si>
    <t>Ксения</t>
  </si>
  <si>
    <t>Ларго</t>
  </si>
  <si>
    <t>Рио</t>
  </si>
  <si>
    <t>Рондо</t>
  </si>
  <si>
    <t>Румба</t>
  </si>
  <si>
    <t>Сорренто</t>
  </si>
  <si>
    <t>Элен</t>
  </si>
  <si>
    <t>Эмилия</t>
  </si>
  <si>
    <r>
      <rPr>
        <sz val="10"/>
        <rFont val="Arial"/>
        <family val="2"/>
      </rPr>
      <t>(Б-белый глянец,Ро-роза металлик, С-салатовый металлик, Р-р</t>
    </r>
  </si>
  <si>
    <r>
      <rPr>
        <sz val="10"/>
        <rFont val="Arial"/>
        <family val="2"/>
      </rPr>
      <t>таллик, А-апельсиновый металлик, Г-голубой металлик)</t>
    </r>
  </si>
  <si>
    <t>(ШВ/Б)-швейцарский вяз /белый (В/ШВ)-венге/швейцарский вяз (ШВ)-швейцарский вяз</t>
  </si>
  <si>
    <t>Бэтта/Одри</t>
  </si>
  <si>
    <t>Альба</t>
  </si>
  <si>
    <t>Альфа</t>
  </si>
  <si>
    <t>Вита</t>
  </si>
  <si>
    <t>Лилу</t>
  </si>
  <si>
    <t>Лина</t>
  </si>
  <si>
    <t>Марсель</t>
  </si>
  <si>
    <t>Мокко</t>
  </si>
  <si>
    <t>Николь</t>
  </si>
  <si>
    <t>Ода</t>
  </si>
  <si>
    <t>Соната</t>
  </si>
  <si>
    <t>Юна</t>
  </si>
  <si>
    <t>Лаура</t>
  </si>
  <si>
    <t>Одри</t>
  </si>
  <si>
    <t>Раковины</t>
  </si>
  <si>
    <t xml:space="preserve">(Ш/Пз)-шоколад/патина зол. (Б/Пз)-белый/патина золото (Б/Пс)-белый/патина серебро (Ч/Пс)-Черный/патина серебро </t>
  </si>
  <si>
    <t>"Sanflor"Зеркало Белла 100 (Ш/Пз)</t>
  </si>
  <si>
    <t>-</t>
  </si>
  <si>
    <t>"Sanflor"Зеркало Белла 100 (Б/Пс)</t>
  </si>
  <si>
    <t>"Sanflor"Зеркало Каир 100  (Б/Пз)</t>
  </si>
  <si>
    <t>"Sanflor"Зеркало Каир 100  (Ч/Пс)</t>
  </si>
  <si>
    <t>"Sanflor"Зеркало Каир 120  (Ч/Пс)</t>
  </si>
  <si>
    <t>"Sanflor"Зеркало Каир 55  (Ч/Пс)</t>
  </si>
  <si>
    <t>"Sanflor"Зеркало Каир 60  (Ч/Пс)</t>
  </si>
  <si>
    <t>"Sanflor"Зеркало Каир 75  (Ч/Пс)</t>
  </si>
  <si>
    <t>"Sanflor"Зеркало Каир 120  (Б/Пз)</t>
  </si>
  <si>
    <t>"Sanflor"Зеркало Каир 60  (Б/Пз)</t>
  </si>
  <si>
    <t>"Sanflor"Зеркало Каир 75  (Б/Пз)</t>
  </si>
  <si>
    <t>"Sanflor"Зеркало Каир 55  (Б/Пз)</t>
  </si>
  <si>
    <t>"Sanflor"Зеркало Ларго 120 (ШВ)</t>
  </si>
  <si>
    <t>"Sanflor"Зеркало Ларго 120 (В/ШВ)</t>
  </si>
  <si>
    <t>"Sanflor"Зеркало Лилу 60  (Б/Пз)</t>
  </si>
  <si>
    <t>"Sanflor"Зеркало Лилу 60  (Б/Пс)</t>
  </si>
  <si>
    <t>(ОГ/Пз)-Орех Гварнери/патина золото</t>
  </si>
  <si>
    <t>(Дм/Пз)-Дуб Молочный/патина золото</t>
  </si>
  <si>
    <t>"Sanflor"Зеркало Рио 120, 120/2</t>
  </si>
  <si>
    <t>"Sanflor"Зеркало Рондо 60 (Б)</t>
  </si>
  <si>
    <t>"Sanflor"Зеркало Румба 120 (В/Пс)</t>
  </si>
  <si>
    <t>"Sanflor"Зеркало Румба 60 (В/Пс)</t>
  </si>
  <si>
    <t>"Sanflor"Зеркало Румба 82 (В/Пс)</t>
  </si>
  <si>
    <t>"Sanflor"Зеркало Румба 120 (В/Пз)</t>
  </si>
  <si>
    <t>"Sanflor"Зеркало Румба 60 (В/Пз)</t>
  </si>
  <si>
    <t>"Sanflor"Зеркало Элен 100 (Б/Пс)</t>
  </si>
  <si>
    <t>"Sanflor"Зеркало Элен 120 (Б/Пс)</t>
  </si>
  <si>
    <t>"Sanflor"Зеркало Элен 60 (Б/Пс)</t>
  </si>
  <si>
    <t>"Sanflor"Зеркало Элен 75 (Б/Пс)</t>
  </si>
  <si>
    <t>"Sanflor"Зеркало Элен 60 (Ч/Пс)</t>
  </si>
  <si>
    <t>"Sanflor"Зеркало Элен 75 (Ч/Пс)</t>
  </si>
  <si>
    <t>"Sanflor"Зеркало Элен 100 (Ч/Пс)</t>
  </si>
  <si>
    <t>"Sanflor"Зеркало Элен 120 (Ч/Пс)</t>
  </si>
  <si>
    <t>(Б/Пс)-белый/патина серебро</t>
  </si>
  <si>
    <t xml:space="preserve">(Ш/Пз)-шоколад/патина зол.   (Ч/Пс)-Черный/патина серебро </t>
  </si>
  <si>
    <t>(Б/Пз)-белый/патина золото</t>
  </si>
  <si>
    <t xml:space="preserve">(Ч/Пс)-Черный/патина серебро </t>
  </si>
  <si>
    <t>(ШВ)-швейцарский вяз</t>
  </si>
  <si>
    <t>(В/ШВ)-венге/швейцарский вяз</t>
  </si>
  <si>
    <t xml:space="preserve">(ШВ/Б)-швейцарский вяз /белый </t>
  </si>
  <si>
    <t>(В/Пс)-Венге/ патина серебро</t>
  </si>
  <si>
    <t>(В/Пз)-Венге /патина золото</t>
  </si>
  <si>
    <t>"Sanflor"Тумба Бэтта60 (Ч)</t>
  </si>
  <si>
    <t>"Sanflor"Тумба Бэтта70/2 (Ч)</t>
  </si>
  <si>
    <t>"Sanflor"Тумба Бэтта80/2 (Ч)</t>
  </si>
  <si>
    <t>"Sanflor"Тумба Бэтта60 (К)</t>
  </si>
  <si>
    <t>"Sanflor"Тумба Бэтта60/2 (К)</t>
  </si>
  <si>
    <t>"Sanflor"Тумба Бэтта70 (К)</t>
  </si>
  <si>
    <t>"Sanflor"Тумба Бэтта70/2 (К)</t>
  </si>
  <si>
    <t>"Sanflor"Тумба Бэтта80 (К)</t>
  </si>
  <si>
    <t>"Sanflor"Тумба Бэтта80/2 (К)</t>
  </si>
  <si>
    <t>(Ч)-черный (К)-красный (Z)- зеркало</t>
  </si>
  <si>
    <t>"Sanflor"Тумба Бэтта60 (Z)</t>
  </si>
  <si>
    <t>"Sanflor"Тумба Бэтта60/2 (Z)</t>
  </si>
  <si>
    <t>"Sanflor"Тумба Бэтта70 (Z)</t>
  </si>
  <si>
    <t>"Sanflor"Тумба Бэтта70/2 (Z)</t>
  </si>
  <si>
    <t>"Sanflor"Тумба Бэтта80 (Z)</t>
  </si>
  <si>
    <t>"Sanflor"Тумба Бэтта80/2 (Z)</t>
  </si>
  <si>
    <t>"Sanflor"Тумба Белла 100 (Ш/Пз)</t>
  </si>
  <si>
    <t>"Sanflor"Тумба Каир 100  (Б/Пз)</t>
  </si>
  <si>
    <t>"Sanflor"Тумба Каир 120  (Б/Пз)</t>
  </si>
  <si>
    <t>"Sanflor"Тумба Каир 55  (Б/Пз)</t>
  </si>
  <si>
    <t>"Sanflor"Тумба Каир 60  (Б/Пз)</t>
  </si>
  <si>
    <t>"Sanflor"Тумба Каир 75  (Б/Пз)</t>
  </si>
  <si>
    <t>"Sanflor"Тумба Каир 100  (Ч/Пс)</t>
  </si>
  <si>
    <t>"Sanflor"Тумба Каир 120  (Ч/Пс)</t>
  </si>
  <si>
    <t>"Sanflor"Тумба Каир 55  (Ч/Пс)</t>
  </si>
  <si>
    <t>"Sanflor"Тумба Каир 60  (Ч/Пс)</t>
  </si>
  <si>
    <t>"Sanflor"Тумба Каир 75  (Ч/Пс)</t>
  </si>
  <si>
    <t xml:space="preserve">"Sanflor"Тумба Ксения 70 </t>
  </si>
  <si>
    <t xml:space="preserve">"Sanflor"Тумба Ксения 70/2 </t>
  </si>
  <si>
    <t xml:space="preserve">"Sanflor"Тумба Ксения 80 </t>
  </si>
  <si>
    <t xml:space="preserve">"Sanflor"Тумба Ксения 80/2 </t>
  </si>
  <si>
    <t>"Sanflor"Тумба Ларго 60 (ШВ/Б)</t>
  </si>
  <si>
    <t>"Sanflor"Тумба Ларго 70 (ШВ/Б)</t>
  </si>
  <si>
    <t>"Sanflor"Тумба Ларго 80 (ШВ/Б)</t>
  </si>
  <si>
    <t>"Sanflor"Тумба Ларго 120 (ШВ/Б)</t>
  </si>
  <si>
    <t>"Sanflor"Тумба Ларго 60 (ШВ)</t>
  </si>
  <si>
    <t>"Sanflor"Тумба Ларго 70 (ШВ)</t>
  </si>
  <si>
    <t>"Sanflor"Тумба Ларго 80 (ШВ)</t>
  </si>
  <si>
    <t>"Sanflor"Тумба Ларго 120 (ШВ)</t>
  </si>
  <si>
    <t>"Sanflor"Тумба Ларго 120 (В/ШВ)</t>
  </si>
  <si>
    <t>"Sanflor"Тумба Ларго 80 (В/ШВ)</t>
  </si>
  <si>
    <t>"Sanflor"Тумба Ларго 60 (В/ШВ)</t>
  </si>
  <si>
    <t>"Sanflor"Тумба Лина 55 (Р)</t>
  </si>
  <si>
    <t>"Sanflor"Тумба Лина 55 (С)</t>
  </si>
  <si>
    <t>"Sanflor"Тумба Лина 55 (А)</t>
  </si>
  <si>
    <t>"Sanflor"Тумба Ода 60</t>
  </si>
  <si>
    <t>"Sanflor"Тумба Одри 70/2</t>
  </si>
  <si>
    <t>700*635475</t>
  </si>
  <si>
    <t xml:space="preserve">"Sanflor"Тумба Рио 120 </t>
  </si>
  <si>
    <t xml:space="preserve">"Sanflor"Тумба Рио 120/2 </t>
  </si>
  <si>
    <t>"Sanflor"Тумба Рондо  60 (Б)</t>
  </si>
  <si>
    <t>"Sanflor"Тумба Рондо 60/2 (Б)</t>
  </si>
  <si>
    <t>"Sanflor"Тумба Румба 120 (В/Пс)</t>
  </si>
  <si>
    <t xml:space="preserve">"Sanflor"Тумба Соната 65 </t>
  </si>
  <si>
    <t>"Sanflor"Тумба Сорренто 120 (З)</t>
  </si>
  <si>
    <t>"Sanflor"Тумба Сорренто 120 (К)</t>
  </si>
  <si>
    <t>"Sanflor"Тумба Сорренто 120 (Б)</t>
  </si>
  <si>
    <t>"Sanflor"Тумба Сорренто 120 (Ч)</t>
  </si>
  <si>
    <t>"Sanflor"Тумба Элен 55 (Б/Пс)</t>
  </si>
  <si>
    <t>"Sanflor"Тумба Элен 60 (Б/Пс)</t>
  </si>
  <si>
    <t>"Sanflor"Тумба Элен 75 (Б/Пс)</t>
  </si>
  <si>
    <t>"Sanflor"Тумба Элен 100 (Б/Пс)</t>
  </si>
  <si>
    <t>"Sanflor"Тумба Элен 120 (Б/Пс)</t>
  </si>
  <si>
    <t>"Sanflor"Тумба Элен 55 (Ч/Пс)</t>
  </si>
  <si>
    <t>"Sanflor"Тумба Элен 60 (Ч/Пс)</t>
  </si>
  <si>
    <t>"Sanflor"Тумба Элен 75 (Ч/Пс)</t>
  </si>
  <si>
    <t>"Sanflor"Тумба Элен 100 (Ч/Пс)</t>
  </si>
  <si>
    <t>"Sanflor"Тумба Элен 120 (Ч/Пс)</t>
  </si>
  <si>
    <t>"Sanflor"Тумба Юна 55 (Б)</t>
  </si>
  <si>
    <t>"Sanflor"Тумба Юна 55 (Р)</t>
  </si>
  <si>
    <t>"Sanflor"Тумба Юна 55 (С)</t>
  </si>
  <si>
    <t>"Sanflor"Тумба Юна 55 (А)</t>
  </si>
  <si>
    <t>Melana LT-7505-60</t>
  </si>
  <si>
    <t>Дрея Q 60</t>
  </si>
  <si>
    <t>Дрея Q 70</t>
  </si>
  <si>
    <t>Дрея Q 80</t>
  </si>
  <si>
    <t>Melana LT-7507-100</t>
  </si>
  <si>
    <t>Антик-55(Сантек)</t>
  </si>
  <si>
    <t>Балтика-60(Сантек)</t>
  </si>
  <si>
    <t>Модерн-75(Сантек)</t>
  </si>
  <si>
    <t>Эльбрус-100(Сантек)</t>
  </si>
  <si>
    <t>Лагуна-120(Дрея)</t>
  </si>
  <si>
    <t>TIMZER TS-27785 SAKURA</t>
  </si>
  <si>
    <t>Байкал-60(Сантек)</t>
  </si>
  <si>
    <t>Стелла-65(Сантек)</t>
  </si>
  <si>
    <t>Дрея 550</t>
  </si>
  <si>
    <t>Дрея 750</t>
  </si>
  <si>
    <t>Melana LT-7507-120</t>
  </si>
  <si>
    <t>Гамма(Дрея)</t>
  </si>
  <si>
    <t>таллик, А-апельсиновый металлик, Г-голубой металлик)</t>
  </si>
  <si>
    <t>Комплектующие (раковины)</t>
  </si>
  <si>
    <t>*</t>
  </si>
  <si>
    <t>Раковина  TIMZER TS-27785 SAKURA (Ларго 120)</t>
  </si>
  <si>
    <t>"Sanflor"Тумба Эмилия 60 (Дм/Пз)</t>
  </si>
  <si>
    <t>"Sanflor"Тумба Эмилия 60 (ОГ/Пз)</t>
  </si>
  <si>
    <t>"Sanflor"Тумба Лаура 60  (ОГ)</t>
  </si>
  <si>
    <t>Валлетта</t>
  </si>
  <si>
    <t>605*860*445</t>
  </si>
  <si>
    <t>Салигер 60</t>
  </si>
  <si>
    <t>"Sanflor"Зеркало Ларго 120 (ШВ/Б)</t>
  </si>
  <si>
    <t>"Sanflor"Зеркало Румба 82 (В/Пз)</t>
  </si>
  <si>
    <t>"Sanflor"Зеркало Элен 55 (Ч/Пс)</t>
  </si>
  <si>
    <t>"Sanflor"Зеркало Элен 55 (Б/Пс)</t>
  </si>
  <si>
    <t>"Sanflor"Тумба Бэтта60/2 (Ч)</t>
  </si>
  <si>
    <t>"Sanflor"Тумба Бэтта70 (Ч)</t>
  </si>
  <si>
    <t>"Sanflor"Тумба Бэтта80 (Ч)</t>
  </si>
  <si>
    <t>"Sanflor"Тумба Белла 100 (Б/Пс)</t>
  </si>
  <si>
    <t>"Sanflor"Тумба Ларго 70 (В/ШВ)</t>
  </si>
  <si>
    <t>"Sanflor"Тумба Лина 55 (Б)</t>
  </si>
  <si>
    <t xml:space="preserve">"Sanflor"Тумба Марсель 55 </t>
  </si>
  <si>
    <t xml:space="preserve">"Sanflor"Тумба Марсель 60 </t>
  </si>
  <si>
    <t>"Sanflor"Тумба Румба 60 (В/Пс)</t>
  </si>
  <si>
    <t>"Sanflor"Тумба Румба 60 (В/Пз)</t>
  </si>
  <si>
    <t>"Sanflor"Тумба Румба 82 (В/Пс)</t>
  </si>
  <si>
    <t>"Sanflor"Тумба Румба 82 (В/Пз)</t>
  </si>
  <si>
    <t>"Sanflor"Тумба Румба 120 (В/Пз)</t>
  </si>
  <si>
    <t>"Sanflor"Тумба Мокко60 (B)</t>
  </si>
  <si>
    <t>"Sanflor"Тумба Мокко60 (B/Б)</t>
  </si>
  <si>
    <t>"Sanflor"Тумба Лина 55 (Г)</t>
  </si>
  <si>
    <t>"Sanflor"Тумба Юна 55 (Г)</t>
  </si>
  <si>
    <t>Раковина Melana LT-7505-60 (Венеция 60)</t>
  </si>
  <si>
    <t>Раковина Melana LT-7507-100 ( Белла 100)</t>
  </si>
  <si>
    <t>Раковина Melana LT-7507-120 (Рио 120)</t>
  </si>
  <si>
    <t>Раковина Melana LT-7506-60 (Венеция 60*)</t>
  </si>
  <si>
    <t>"Sanflor"Зеркало Валлетта 60 (Ч)</t>
  </si>
  <si>
    <t>"Sanflor"Зеркало Валлетта 60 (К)</t>
  </si>
  <si>
    <t>"Sanflor"Зеркало Валлетта 60 (З)</t>
  </si>
  <si>
    <t>(Ч)-черный (К)-красный (Z)- зеркало(З)-зеленый, (Кор)-коричневый</t>
  </si>
  <si>
    <t>"Sanflor"Зеркало Валлетта 60 (Кор)</t>
  </si>
  <si>
    <t>"Sanflor"Тумба Валетта 60 (К)</t>
  </si>
  <si>
    <t>"Sanflor"Тумба Валетта 60 (З)</t>
  </si>
  <si>
    <t>"Sanflor"Тумба Валетта 60 (Кор)</t>
  </si>
  <si>
    <t>"Sanflor"Тумба Валетта 60 (Ч)</t>
  </si>
  <si>
    <t xml:space="preserve">"Sanflor"Тумба Венеция 60 </t>
  </si>
  <si>
    <t>"Sanflor"Полупенал верх./ниж. Мокко  (В/Б)</t>
  </si>
  <si>
    <t>"Sanflor"Полупенал верх./ниж. Мокко  (В)</t>
  </si>
  <si>
    <t>1003*430*170</t>
  </si>
  <si>
    <t>"Sanflor"Зеркало Рондо 60 (А)</t>
  </si>
  <si>
    <t>Сити</t>
  </si>
  <si>
    <t>"Sanflor"Тумба Рондо  60 (А)</t>
  </si>
  <si>
    <t>"Sanflor"Тумба Рондо 60/2 (А)</t>
  </si>
  <si>
    <t>"Sanflor"Тумба Муза 65(Б)</t>
  </si>
  <si>
    <t>"Sanflor"Тумба Муза 65(Р)</t>
  </si>
  <si>
    <t>"Sanflor"Тумба Муза 65(С)</t>
  </si>
  <si>
    <t>"Sanflor"Тумба Муза 65(А)</t>
  </si>
  <si>
    <t>"Sanflor"Тумба Муза 65(Г)</t>
  </si>
  <si>
    <t>600*36</t>
  </si>
  <si>
    <t>1000*600*41</t>
  </si>
  <si>
    <t xml:space="preserve">'Sanflor"ANTI-STEAM Зеркало "Сити" 60   </t>
  </si>
  <si>
    <t>'Sanflor"ANTI-STEAM Зеркало "Сити" 70</t>
  </si>
  <si>
    <t>'Sanflor"ANTI-STEAM Зеркало "Сити" 80</t>
  </si>
  <si>
    <t>'Sanflor"ANTI-STEAM Зеркало "Сити"120</t>
  </si>
  <si>
    <t>600*735*36</t>
  </si>
  <si>
    <t>700*735*37</t>
  </si>
  <si>
    <t>800*735*38</t>
  </si>
  <si>
    <t>1200*735*39</t>
  </si>
  <si>
    <t>Раковина  TIMZER TS-54089 OCEANIDA (Бэлла 100)</t>
  </si>
  <si>
    <t>610*890*450</t>
  </si>
  <si>
    <t>"Sanflor"Пенал Элен R/L (Б/Пс)</t>
  </si>
  <si>
    <t>"Sanflor"Пенал Элен R/L (Ч/Пс)</t>
  </si>
  <si>
    <t>Цена раковин</t>
  </si>
  <si>
    <t>"Sanflor"Зеркало Эмилия 60 R/L (Дм/Пз)</t>
  </si>
  <si>
    <t>"Sanflor"Зеркало Эмилия 60 R/L (ОГ/Пз)</t>
  </si>
  <si>
    <t>"Sanflor"Пенал Эмилия R/L (Дм/Пз)</t>
  </si>
  <si>
    <t>"Sanflor"Пенал Эмилия R/L (ОГ/Пз)</t>
  </si>
  <si>
    <t>"Sanflor"Пенал Каир R/L (Б/Пз)</t>
  </si>
  <si>
    <t>"Sanflor"Пенал Каир R/L (Ч/Пс)</t>
  </si>
  <si>
    <t>"Sanflor"Зеркало Ларго 60 R/L (ШВ)</t>
  </si>
  <si>
    <t>"Sanflor"Зеркало Ларго 60 R/L (В/ШВ)</t>
  </si>
  <si>
    <t>"Sanflor"Зеркало Ларго 70 R/L (ШВ)</t>
  </si>
  <si>
    <t>"Sanflor"Зеркало Ларго 80 R/L (ШВ)</t>
  </si>
  <si>
    <t>"Sanflor"Зеркало Ларго 70 R/L (В/ШВ)</t>
  </si>
  <si>
    <t>"Sanflor"Зеркало Ларго 80 R/L (В/ШВ)</t>
  </si>
  <si>
    <t>"Sanflor"Пенал Ларго R/L (ШВ/Б)</t>
  </si>
  <si>
    <t>"Sanflor"Пенал Ларго R/L (ШВ)</t>
  </si>
  <si>
    <t>"Sanflor"Пенал Ларго R/L (В/ШВ)</t>
  </si>
  <si>
    <t>"Sanflor"Пенал Марсель R/L</t>
  </si>
  <si>
    <t>"Sanflor"Пенал Румба I,  R/L (В/Пс)</t>
  </si>
  <si>
    <t>"Sanflor"Пенал Румба III,  R/L (В/Пс)</t>
  </si>
  <si>
    <t>"Sanflor"Пенал Румба I,  R/L (В/Пз)</t>
  </si>
  <si>
    <t>"Sanflor"Пенал Румба III,  R/L (В/Пз)</t>
  </si>
  <si>
    <t>"Sanflor"Полупенал Румба верхний R/L (В/Пс)</t>
  </si>
  <si>
    <t>"Sanflor"Полупенал Румба нижний  R/L (В/Пс)</t>
  </si>
  <si>
    <t>"Sanflor"Полупенал Румба верхний R/L (В/Пз)</t>
  </si>
  <si>
    <t>"Sanflor"Полупенал Румба нижний  R/L (В/Пз)</t>
  </si>
  <si>
    <t>"Sanflor"Пенал Венеция R/L</t>
  </si>
  <si>
    <t>"Sanflor"Пенал Бэтта R/L (Ч)</t>
  </si>
  <si>
    <t>"Sanflor"Пенал Бэтта R/L (К)</t>
  </si>
  <si>
    <t>"Sanflor"Пенал Бэтта R/L (Z)</t>
  </si>
  <si>
    <t>"Sanflor"Пенал Валлетта R/L (Ч)</t>
  </si>
  <si>
    <t>"Sanflor"Пенал Валлетта R/L (К)</t>
  </si>
  <si>
    <t>"Sanflor"Пенал Валлетта R/L (Кор)</t>
  </si>
  <si>
    <t>"Sanflor"Пенал Валлетта R/L (З)</t>
  </si>
  <si>
    <t>"Sanflor"Пенал Одри /Рио/Сорренто  R/L</t>
  </si>
  <si>
    <t xml:space="preserve">"Sanflor"Пенал Белла R/L (Ш/Пз) </t>
  </si>
  <si>
    <t xml:space="preserve">"Sanflor"Пенал Белла R/L (Б/Пс) </t>
  </si>
  <si>
    <t>"Sanflor"Пенал Рондо R/L (Б)</t>
  </si>
  <si>
    <t>"Sanflor"Пенал Рондо R/L (А)</t>
  </si>
  <si>
    <t>"Sanflor"Зеркало Ксения 60 R/L</t>
  </si>
  <si>
    <t>"Sanflor"Зеркало Ксения 70 R/L</t>
  </si>
  <si>
    <t>"Sanflor"Пенал Ксения R/L</t>
  </si>
  <si>
    <t>"Sanflor"Зеркало "Лаура" 60 R/L (ОГ)</t>
  </si>
  <si>
    <t>"Sanflor"Пенал Лаура R/L (ОГ)</t>
  </si>
  <si>
    <t>"Sanflor"Зеркало Николь 55 R/L</t>
  </si>
  <si>
    <t>"Sanflor"Зеркало Николь 65 R/L</t>
  </si>
  <si>
    <t>"Sanflor"Зеркало Николь 75 R/L</t>
  </si>
  <si>
    <t>"Sanflor"Пенал Николь R/L</t>
  </si>
  <si>
    <t>"Sanflor"Зеркало Юна 55 R/L (Б)</t>
  </si>
  <si>
    <t>"Sanflor"Зеркало Юна 55 R/L (Р)</t>
  </si>
  <si>
    <t>"Sanflor"Зеркало Юна 55 R/L (С)</t>
  </si>
  <si>
    <t>"Sanflor"Зеркало Юна 55 R/L (А)</t>
  </si>
  <si>
    <t>"Sanflor"Зеркало Юна 55 R/L (Г)</t>
  </si>
  <si>
    <t>"Sanflor"Зеркало Лина55 R/L (Б)</t>
  </si>
  <si>
    <t>"Sanflor"Зеркало Лина55 R/L (Р)</t>
  </si>
  <si>
    <t>"Sanflor"Зеркало Лина55 R/L (С)</t>
  </si>
  <si>
    <t>"Sanflor"Зеркало Лина55 R/L (А)</t>
  </si>
  <si>
    <t>"Sanflor"Зеркало Лина55 R/L (Г)</t>
  </si>
  <si>
    <t>"Sanflor"Зеркало Ода 60 R/Д</t>
  </si>
  <si>
    <t>"Sanflor"Зеркало Соната 65 R/L</t>
  </si>
  <si>
    <t>"Sanflor"Зеркало Муза 65 R/L (Б)</t>
  </si>
  <si>
    <t>"Sanflor"Зеркало Муза 65 R/L (Р)</t>
  </si>
  <si>
    <t>"Sanflor"Зеркало Муза 65 R/L (С)</t>
  </si>
  <si>
    <t>"Sanflor"Зеркало Муза 65 R/L(Г)</t>
  </si>
  <si>
    <t>"Sanflor"Пенал Лилу R/L (Б/Пс)</t>
  </si>
  <si>
    <t>"Sanflor"Пенал Лилу R/L (Б/Пз)</t>
  </si>
  <si>
    <t xml:space="preserve">"Sanflor"Тумба Альба 60 </t>
  </si>
  <si>
    <t>"Sanflor"Тумба Альба 60/2</t>
  </si>
  <si>
    <t>600*910*445</t>
  </si>
  <si>
    <t>(Б-белый глянец,Ро-роза металлик, С-салатовый металлик, Р-розовый</t>
  </si>
  <si>
    <t>(В/Пс),(В/Пз)-Венге /Патина серебро, Венге/Патина золото</t>
  </si>
  <si>
    <t>Оптовая  цена без раковин</t>
  </si>
  <si>
    <t>Дата</t>
  </si>
  <si>
    <t>Оптовая  цена без раковин+10%</t>
  </si>
  <si>
    <t>цена раковины рассч.</t>
  </si>
  <si>
    <t>цена раковины фактич.</t>
  </si>
  <si>
    <t>603*790*130</t>
  </si>
  <si>
    <t>Цена раковин Сантек и Дрея без повышения цен.</t>
  </si>
  <si>
    <t>Мелана и Тимсер-с удорожанием.</t>
  </si>
  <si>
    <t>"Sanflor"Зеркало Валлетта 80 (Ч) L/R</t>
  </si>
  <si>
    <t>810*790*150</t>
  </si>
  <si>
    <t>"Sanflor"Тумба Валетта 80 (Ч) L/R</t>
  </si>
  <si>
    <t>840*880*510</t>
  </si>
  <si>
    <t>Коралл 82L/R</t>
  </si>
  <si>
    <t>Цена розница (руб.)</t>
  </si>
  <si>
    <t>Цена ОПТ 1     (от 150 тыс. до 500 тыс.руб)</t>
  </si>
  <si>
    <t>Цена ОПТ 2(до 150 тыс. руб)</t>
  </si>
  <si>
    <t>Цена ОПТ 3 (от 500 тыс.руб)</t>
  </si>
  <si>
    <t>c 1 /01/2015</t>
  </si>
  <si>
    <t>Цена розница (руб.)2</t>
  </si>
  <si>
    <t>Цена ОПТ 1     (от 150 тыс. до 500 тыс.руб)3</t>
  </si>
  <si>
    <t>Цена ОПТ 2(до 150 тыс. руб)4</t>
  </si>
  <si>
    <t>Цена ОПТ 3 (от 500 тыс.руб)5</t>
  </si>
  <si>
    <t>Муза</t>
  </si>
  <si>
    <t>Раковина Коралл-82 Сантек (Валлетта 80)L/R</t>
  </si>
  <si>
    <t>840*510*215</t>
  </si>
  <si>
    <t>"Sanflor"Зеркало Белла 100 (Ш/Пз),(Б/Пс)</t>
  </si>
  <si>
    <t xml:space="preserve">"Sanflor"Пенал Белла R/L (Ш/Пз) ,(Б/Пс) </t>
  </si>
  <si>
    <t>"Sanflor"Тумба Белла 100 (Ш/Пз),(Б/Пс)</t>
  </si>
  <si>
    <t>"Sanflor"Пенал Бэтта R/L (Ч),(К),(Z)</t>
  </si>
  <si>
    <t>"Sanflor"Тумба Бэтта60 (Ч),(К),(Z)</t>
  </si>
  <si>
    <t>"Sanflor"Тумба Бэтта60/2 (Ч),(К),(Z)</t>
  </si>
  <si>
    <t>"Sanflor"Тумба Бэтта70 (Ч),(К),(Z)</t>
  </si>
  <si>
    <t>"Sanflor"Тумба Бэтта70/2 (Ч),(К),(Z)</t>
  </si>
  <si>
    <t>"Sanflor"Тумба Бэтта80 (Ч),(К),(Z)</t>
  </si>
  <si>
    <t>"Sanflor"Тумба Бэтта80/2 (Ч),(К),(Z)</t>
  </si>
  <si>
    <t>"Sanflor"Зеркало Валлетта 60 (Ч),(К),(З),(Кор)</t>
  </si>
  <si>
    <t>"Sanflor"Зеркало Валлетта 80 L/R,   (Ч),(К),(З),(Кор)</t>
  </si>
  <si>
    <t>"Sanflor"Пенал Валлетта R/L (Ч),(К),(З),(Кор)</t>
  </si>
  <si>
    <t>"Sanflor"Тумба Валетта 60 (Ч),(К),(З),(Кор)</t>
  </si>
  <si>
    <t>"Sanflor"Тумба Валетта 80 L/R   (Ч),(К),(З),(Кор)</t>
  </si>
  <si>
    <t>"Sanflor"Зеркало Ларго 60 R/L (ШВ),(В/ШВ)</t>
  </si>
  <si>
    <t>"Sanflor"Зеркало Ларго 70 R/L (ШВ),(В/ШВ)</t>
  </si>
  <si>
    <t>"Sanflor"Зеркало Ларго 80 R/L (ШВ),(В/ШВ)</t>
  </si>
  <si>
    <t>"Sanflor"Зеркало Ларго 120 (ШВ),(В/ШВ)</t>
  </si>
  <si>
    <t>"Sanflor"Пенал Ларго R/L (ШВ),(В/ШВ)</t>
  </si>
  <si>
    <t>"Sanflor"Тумба Ларго 60 (ШВ),(В/ШВ)</t>
  </si>
  <si>
    <t>"Sanflor"Тумба Ларго 70 (ШВ),(В/ШВ)</t>
  </si>
  <si>
    <t>"Sanflor"Тумба Ларго 80 (ШВ),(В/ШВ)</t>
  </si>
  <si>
    <t>"Sanflor"Тумба Ларго 120 (ШВ),(В/ШВ)</t>
  </si>
  <si>
    <t>"Sanflor"Зеркало Лилу 60  (Б/Пз),(Б/Пс)</t>
  </si>
  <si>
    <t>"Sanflor"Зеркало Лилу 75  (Б/Пз),(Б/Пс)</t>
  </si>
  <si>
    <t>"Sanflor"Пенал Лилу R/L (Б/Пз),(Б/Пс)</t>
  </si>
  <si>
    <t>"Sanflor"Тумба Лилу 60 (Б/Пз),(Б/Пс)</t>
  </si>
  <si>
    <t>"Sanflor"Тумба Лилу75 (Б/Пз),(Б/Пс)</t>
  </si>
  <si>
    <t>"Sanflor"Зеркало Лина55 R/L (Б),(С),(Р),(А),(Г)</t>
  </si>
  <si>
    <t>"Sanflor"Тумба Лина 55 (Б),(С),(Р),(А),(Г)</t>
  </si>
  <si>
    <t>"Sanflor"Полупенал верх./ниж. Мокко  (В),(В/Б)</t>
  </si>
  <si>
    <t>"Sanflor"Тумба Мокко60 (В),(В/Б)</t>
  </si>
  <si>
    <t>"Sanflor"Зеркало Муза 65 R/L (Б),(С),(Р),(А),(Г)</t>
  </si>
  <si>
    <t>"Sanflor"Тумба Муза 65(Б),(С),(Р),(А),(Г)</t>
  </si>
  <si>
    <t>"Sanflor"Зеркало Рондо 60 (Б),(А)</t>
  </si>
  <si>
    <t>"Sanflor"Пенал Рондо R/L  (Б),(А)</t>
  </si>
  <si>
    <t>"Sanflor"Тумба Рондо  60  (Б),(А)</t>
  </si>
  <si>
    <t>"Sanflor"Тумба Рондо 60/2  (Б),(А)</t>
  </si>
  <si>
    <t>"Sanflor"Зеркало Румба 60 (В/Пс),(В/Пз)</t>
  </si>
  <si>
    <t>"Sanflor"Зеркало Румба 82 (В/Пс),(В/Пз)</t>
  </si>
  <si>
    <t>"Sanflor"Зеркало Румба 120 (В/Пс),(В/Пз)</t>
  </si>
  <si>
    <t>"Sanflor"Пенал Румба I,  R/L (В/Пс),(В/Пз)</t>
  </si>
  <si>
    <t>"Sanflor"Пенал Румба III,  R/L (В/Пс),(В/Пз)</t>
  </si>
  <si>
    <t>"Sanflor"Полупенал Румба верхний R/L (В/Пс),(В/Пз)</t>
  </si>
  <si>
    <t>"Sanflor"Полупенал Румба нижний  R/L (В/Пс),(В/Пз)</t>
  </si>
  <si>
    <t>"Sanflor"Тумба Румба 60 (В/Пс),(В/Пз)</t>
  </si>
  <si>
    <t>"Sanflor"Тумба Румба 82 (В/Пс),(В/Пз)</t>
  </si>
  <si>
    <t>"Sanflor"Тумба Румба 120 (В/Пс),(В/Пз)</t>
  </si>
  <si>
    <t>"Sanflor"Тумба Сорренто 120 (Б),(З),(К),(Ч)</t>
  </si>
  <si>
    <t>"Sanflor"Зеркало Эмилия 60 R/L (ОГ/Пз),(Дм/Пз)</t>
  </si>
  <si>
    <t>"Sanflor"Пенал Эмилия R/L (ОГ/Пз),(Дм/Пз)</t>
  </si>
  <si>
    <t>"Sanflor"Тумба Эмилия 60 (ОГ/Пз),(Дм/Пз)</t>
  </si>
  <si>
    <t>"Sanflor"Зеркало Юна 55 R/L (Б),(С),(Р),(А),(Г)</t>
  </si>
  <si>
    <t>"Sanflor"Тумба Юна 55 (Б),(С),(Р),(А),(Г)</t>
  </si>
  <si>
    <t>(Б)-белый глянец, (С)-салатовый , (Р)-розовый</t>
  </si>
  <si>
    <t xml:space="preserve"> (А)-апельсиновый , (Г)-голубой</t>
  </si>
  <si>
    <t xml:space="preserve">Цена розница (Руб.) </t>
  </si>
  <si>
    <t xml:space="preserve">Цена ОПТ 3 (от 500 тыс.Руб) </t>
  </si>
  <si>
    <t xml:space="preserve">Цена ОПТ 2    (от 150 тыс. до 500 тыс.Руб) </t>
  </si>
  <si>
    <t>Цена ОПТ 1 (до 150 тыс. Руб.)</t>
  </si>
  <si>
    <t>Софи</t>
  </si>
  <si>
    <t xml:space="preserve">"Sanflor"Зеркало Софи60 </t>
  </si>
  <si>
    <t>"Sanflor"Зеркало Софи75</t>
  </si>
  <si>
    <t>Раковина Салигер-60 Сантек (Валлетта 60,Софи60)</t>
  </si>
  <si>
    <t>Раковина Модерн-75 Сантек (Элен 75, Каир 75, Софи 75)</t>
  </si>
  <si>
    <t>720*744*152</t>
  </si>
  <si>
    <t xml:space="preserve">"Sanflor"Тумба Софи 75  </t>
  </si>
  <si>
    <t xml:space="preserve">"Sanflor"Тумба Софи 60 </t>
  </si>
  <si>
    <t>Цена тумбы</t>
  </si>
  <si>
    <t>Цена раковины</t>
  </si>
  <si>
    <t>Селигер 60</t>
  </si>
  <si>
    <t>Раковина  TIMZER TS-54089 OCEANIDA 103см</t>
  </si>
  <si>
    <t>Цена ОПТ 3 (от 500 тыс.Руб) без НДС</t>
  </si>
  <si>
    <t>Утверждаю:_________________________</t>
  </si>
  <si>
    <t>c 20.01.2015</t>
  </si>
  <si>
    <t>"Sanflor"Зеркало Илона 55 R/L (Б)</t>
  </si>
  <si>
    <t>"Sanflor"Тумба Илона 55 (Б)</t>
  </si>
  <si>
    <t>Илона</t>
  </si>
  <si>
    <t>TIMZER TS-54089 OCEANIDA 103см</t>
  </si>
  <si>
    <t>Действие с 01.02.2015</t>
  </si>
  <si>
    <t>Действие с 12.02.2015</t>
  </si>
  <si>
    <t>январь</t>
  </si>
  <si>
    <t xml:space="preserve">      РРЦ *(Руб.) </t>
  </si>
  <si>
    <t xml:space="preserve">Мебель для ванных комнат </t>
  </si>
  <si>
    <t>Раковина Селигер-60 Сантек (Валлетта 60,Софи60)</t>
  </si>
  <si>
    <t xml:space="preserve">ООО «ОМК»             
ИНН 5720018603                                                                                                                                                             КПП 572001001
Тел./ф (4862)390-555
</t>
  </si>
  <si>
    <t>"Sanflor"Зеркало Софи65</t>
  </si>
  <si>
    <t>"Sanflor"Тумба Софи 65</t>
  </si>
  <si>
    <t>Ларго2</t>
  </si>
  <si>
    <t>"Sanflor"Пенал Ларго2 R/L (ШВ/Б)</t>
  </si>
  <si>
    <t>"Sanflor"Пенал Ларго2 R/L (ШВ),(В/ШВ)</t>
  </si>
  <si>
    <t>"Sanflor"Тумба Ларго2 60 (ШВ/Б)</t>
  </si>
  <si>
    <t>"Sanflor"Тумба Ларго2 60 (ШВ),(В/ШВ)</t>
  </si>
  <si>
    <t>"Sanflor"Тумба Ларго2 70 (ШВ/Б)</t>
  </si>
  <si>
    <t>"Sanflor"Тумба Ларго2 70 (ШВ),(В/ШВ)</t>
  </si>
  <si>
    <t>"Sanflor"Тумба Ларго2 80 (ШВ/Б)</t>
  </si>
  <si>
    <t>"Sanflor"Тумба Ларго2 80 (ШВ),(В/ШВ)</t>
  </si>
  <si>
    <t>март</t>
  </si>
  <si>
    <t>Прайс-лист от 4.03.2015г.</t>
  </si>
  <si>
    <t>Торонто</t>
  </si>
  <si>
    <t>TIMZER TS-54085 OCEANIDA 57см</t>
  </si>
  <si>
    <t>TIMZER TS-54086 OCEANIDA 68см</t>
  </si>
  <si>
    <t xml:space="preserve">TIMZER TS-54087 OCEANIDA 83см </t>
  </si>
  <si>
    <t>Раковина  TIMZER TS-54085 OCEANIDA 57см</t>
  </si>
  <si>
    <t>Раковина  TIMZER TS-54086 OCEANIDA 68см</t>
  </si>
  <si>
    <t xml:space="preserve">Раковина  TIMZER TS-54087 OCEANIDA 83см </t>
  </si>
  <si>
    <t>830*430*170</t>
  </si>
  <si>
    <t>570*430*170</t>
  </si>
  <si>
    <t>680*430*170</t>
  </si>
  <si>
    <t>400*336*1950</t>
  </si>
  <si>
    <t>570*751*140</t>
  </si>
  <si>
    <t>570*430*865</t>
  </si>
  <si>
    <t>680*430*865</t>
  </si>
  <si>
    <t>830*430*865</t>
  </si>
  <si>
    <t>830*751*140</t>
  </si>
  <si>
    <t>680*751*140</t>
  </si>
  <si>
    <t>"Sanflor"Зеркало Торонто 57 (В/ШВ),(В/ОС), (В/ОБ),(В/СДс)</t>
  </si>
  <si>
    <t>"Sanflor"Тумба Торонто 57 (В/ШВ),(В/ОС), (В/ОБ),(В/СДс)</t>
  </si>
  <si>
    <t>"Sanflor"Зеркало Торонто 68 (В/ШВ),(В/ОС), (В/ОБ),(В/СДс)</t>
  </si>
  <si>
    <t>"Sanflor"Тумба Торонто 68 (В/ШВ),(В/ОС), (В/ОБ),(В/СДс)</t>
  </si>
  <si>
    <t>"Sanflor"Зеркало Торонто 83 (В/ШВ),(В/ОС), (В/ОБ),(В/СДс)</t>
  </si>
  <si>
    <t>"Sanflor"Тумба Торонто 83 (В/ШВ),(В/ОС), (В/ОБ),(В/СДс)</t>
  </si>
  <si>
    <t>"Sanflor"Пенал Торонто  R/L (В/ШВ),(В/ОС), (В/ОБ),(В/СДс)</t>
  </si>
  <si>
    <t>(В/ОС) -Венге/Орфео Серый</t>
  </si>
  <si>
    <t>(В/ОБ) -Венге/Орфео Белый</t>
  </si>
  <si>
    <t>(В/СДс)-Венге/Северное дерево светлое</t>
  </si>
  <si>
    <t xml:space="preserve">(Ш/Пз)-шоколад/патина зол.   </t>
  </si>
  <si>
    <t>Цена тумбы опт.</t>
  </si>
  <si>
    <t>Светильник  к Зеркалу "Торонто" 57,68,83</t>
  </si>
  <si>
    <t>(27А, серебро)</t>
  </si>
  <si>
    <t>Адель</t>
  </si>
  <si>
    <t xml:space="preserve">"Sanflor"Тумба Адель 65 (В/Пс) ,(Б/Пс) </t>
  </si>
  <si>
    <t xml:space="preserve">"Sanflor"Зеркало Адель 65 (В/Пс) ,(Б/Пс) </t>
  </si>
  <si>
    <t xml:space="preserve">"Sanflor"ПеналАдель R/L (В/Пс) ,(Б/Пс) </t>
  </si>
  <si>
    <t xml:space="preserve">ООО «ОМК»             
ИНН 5720018603         КПП 572001001
Тел./ф (4862)390-555
</t>
  </si>
  <si>
    <t xml:space="preserve">Коллекция Премиум </t>
  </si>
  <si>
    <t xml:space="preserve">Коллекция Стандарт </t>
  </si>
  <si>
    <t xml:space="preserve">Коллекция Эконом </t>
  </si>
  <si>
    <t>"Sanflor"Зеркало Софи50</t>
  </si>
  <si>
    <t>"Sanflor"Тумба Софи 50</t>
  </si>
  <si>
    <t>720*744*153</t>
  </si>
  <si>
    <t>755*910*506</t>
  </si>
  <si>
    <t>"Sanflor"Зеркало Софи85</t>
  </si>
  <si>
    <t>"Sanflor"Тумба Софи 85</t>
  </si>
  <si>
    <t>Mia85 (Della)</t>
  </si>
  <si>
    <t>Канны 50</t>
  </si>
  <si>
    <t>Санфлор</t>
  </si>
  <si>
    <t>"Sanflor"Зеркало Санфлор100 (Б/Пк),(К/Пб)</t>
  </si>
  <si>
    <t>"Sanflor"Пенал Санфлор100 R/L (Б/Пк),(К/Пб)</t>
  </si>
  <si>
    <t>"Sanflor"Тумба  Санфлор100 (Б/Пк),(К/Пб)</t>
  </si>
  <si>
    <t>Раковина  TIMZER TS-15100 VEGA (Санфлор 100)</t>
  </si>
  <si>
    <t>985*480*100</t>
  </si>
  <si>
    <t>Раковина Mia85 ( Cофи 85)</t>
  </si>
  <si>
    <t>850*</t>
  </si>
  <si>
    <t>614*850*158</t>
  </si>
  <si>
    <t>356*1810*348</t>
  </si>
  <si>
    <t xml:space="preserve">"Sanflor"Пенал Софи </t>
  </si>
  <si>
    <t>320*1990*332</t>
  </si>
  <si>
    <t>500*744*158</t>
  </si>
  <si>
    <t>500*860*450</t>
  </si>
  <si>
    <t>620*744*180</t>
  </si>
  <si>
    <t>"Sanflor"Зеркало Илона 45 R/L (Б)</t>
  </si>
  <si>
    <t>"Sanflor"Тумба Илона 45 (Б)</t>
  </si>
  <si>
    <t>450*730*265</t>
  </si>
  <si>
    <t>Уют-45(Киров)</t>
  </si>
  <si>
    <t>"Sanflor"Зеркало Илона 65 R/L (Б)</t>
  </si>
  <si>
    <t>"Sanflor"Тумба Илона 65 (Б)</t>
  </si>
  <si>
    <t>"Sanflor"Зеркало Мокко 45</t>
  </si>
  <si>
    <t>452*651*140</t>
  </si>
  <si>
    <t>450*860*260</t>
  </si>
  <si>
    <t>"Sanflor"Тумба Мокко 45 (В),(В/Б)</t>
  </si>
  <si>
    <t>580*744*181</t>
  </si>
  <si>
    <t>"Sanflor"Зеркало Юна 65 R/L (Б),(С),(Р),(А),(Г)</t>
  </si>
  <si>
    <t>"Sanflor"Тумба Юна 65 (Б),(С),(Р),(А),(Г)</t>
  </si>
  <si>
    <t>550*730*266</t>
  </si>
  <si>
    <t>"Sanflor"Тумба Лина 65 (Б),(С),(Р),(А),(Г)</t>
  </si>
  <si>
    <t>"Sanflor"Зеркало Лина 65R/L (Б),(С),(Р),(А),(Г)</t>
  </si>
  <si>
    <t>"Sanflor"Зеркало Лина 55 R/L (Б),(С),(Р),(А),(Г)</t>
  </si>
  <si>
    <t xml:space="preserve">Раковины Канны-50 Сантек </t>
  </si>
  <si>
    <t>500*450*209</t>
  </si>
  <si>
    <t>Уют-45 (Мокко, Илона)</t>
  </si>
  <si>
    <t>450*290*180</t>
  </si>
  <si>
    <t>600*450*180</t>
  </si>
  <si>
    <t>"Sanflor" Светильник кЗеркалу Санфлор100 (3068)</t>
  </si>
  <si>
    <t xml:space="preserve">                                 ПРАЙС-ЛИСТ на САНТЕХНИКУ ТМ"Сантек", "Сантери"(Воротынск),"Санита" спрашивайте  у менеджеров.</t>
  </si>
  <si>
    <t>400*1520*340</t>
  </si>
  <si>
    <t>600*693*475</t>
  </si>
  <si>
    <t>700*693*475</t>
  </si>
  <si>
    <t>800*693*475</t>
  </si>
  <si>
    <t>Коллекция</t>
  </si>
  <si>
    <t>Наименование</t>
  </si>
  <si>
    <t>Размер (мм.),
ШхВхГ</t>
  </si>
  <si>
    <t>Зеркало Румба 60 (В/Пс), (В/Пз)</t>
  </si>
  <si>
    <t>Зеркало Румба 82 (В/Пс), (В/Пз)</t>
  </si>
  <si>
    <t>Зеркало Румба 120 (В/Пс), (В/Пз)</t>
  </si>
  <si>
    <t>Тумба Румба 82 (В/Пс), (В/Пз)</t>
  </si>
  <si>
    <t>Тумба Румба 120 (В/Пс), (В/Пз)</t>
  </si>
  <si>
    <t>Зеркало Белла 100 (Ш/Пз), (Б/Пс)</t>
  </si>
  <si>
    <t>Тумба Белла 100 (Ш/Пз), (Б/Пс)</t>
  </si>
  <si>
    <t>Зеркало Ксения 60 R/L</t>
  </si>
  <si>
    <t>Зеркало Ксения 70 R/L</t>
  </si>
  <si>
    <t>Зеркало Ксения 80</t>
  </si>
  <si>
    <t>Тумба Ларго 60 (ШВ/Б)</t>
  </si>
  <si>
    <t>Тумба Ларго 70 (ШВ/Б)</t>
  </si>
  <si>
    <t>Тумба Ларго 80 (ШВ/Б)</t>
  </si>
  <si>
    <t>Тумба Ларго2 60 (ШВ/Б)</t>
  </si>
  <si>
    <t>Тумба Ларго2 70 (ШВ/Б)</t>
  </si>
  <si>
    <t>Тумба Ларго2 80 (ШВ/Б)</t>
  </si>
  <si>
    <t>Зеркало Элен 60 (Б/Пс)</t>
  </si>
  <si>
    <t>Зеркало Элен 75 (Б/Пс)</t>
  </si>
  <si>
    <t>Зеркало Элен 100 (Б/Пс)</t>
  </si>
  <si>
    <t>Зеркало Элен 120 (Б/Пс)</t>
  </si>
  <si>
    <t>Тумба Элен 60 (Б/Пс)</t>
  </si>
  <si>
    <t>Тумба Элен 75 (Б/Пс)</t>
  </si>
  <si>
    <t>Тумба Элен 100 (Б/Пс)</t>
  </si>
  <si>
    <t>Тумба Лина 65 (Б)</t>
  </si>
  <si>
    <t>Зеркало Николь 55 R/L</t>
  </si>
  <si>
    <t>Зеркало Николь 65 R/L</t>
  </si>
  <si>
    <t>Зеркало Николь 75 R/L</t>
  </si>
  <si>
    <t>Пенал Николь R/L</t>
  </si>
  <si>
    <t>Тумба Николь 55</t>
  </si>
  <si>
    <t>Тумба Николь 65</t>
  </si>
  <si>
    <t>Тумба Николь 75</t>
  </si>
  <si>
    <t>Зеркало Софи 50</t>
  </si>
  <si>
    <t>Тумба Софи 50</t>
  </si>
  <si>
    <t xml:space="preserve">Зеркало Софи 60 </t>
  </si>
  <si>
    <t xml:space="preserve">Тумба Софи 60 </t>
  </si>
  <si>
    <t>Зеркало Софи 65</t>
  </si>
  <si>
    <t>Тумба Софи 65</t>
  </si>
  <si>
    <t>Зеркало Софи 75</t>
  </si>
  <si>
    <t xml:space="preserve">Тумба Софи 75  </t>
  </si>
  <si>
    <t>Зеркало Софи 85</t>
  </si>
  <si>
    <t>Пенал Софи R/L</t>
  </si>
  <si>
    <t>Раковина Mia 85 ( Cофи 85)</t>
  </si>
  <si>
    <t>(Ч) - черный, (К) - красный, (Z) - зеркало</t>
  </si>
  <si>
    <t xml:space="preserve">(Ш/Пз) - шоколад/патина золото   </t>
  </si>
  <si>
    <t>(Б/Пс) - белый/патина серебро</t>
  </si>
  <si>
    <t>(Б/Пз) - белый/патина золото</t>
  </si>
  <si>
    <t>(В/Пс) - венге/патина серебро</t>
  </si>
  <si>
    <t>(В/Пз) - венге/патина золото</t>
  </si>
  <si>
    <t>(В/ОС) - венге/орфео серый</t>
  </si>
  <si>
    <t>(В/СДс) - венге/северное дерево светлое</t>
  </si>
  <si>
    <t xml:space="preserve">(ШВ/Б) - швейцарский вяз/белый </t>
  </si>
  <si>
    <t>(В/ШВ) - венге/швейцарский вяз</t>
  </si>
  <si>
    <t>Тумба Санфлор 100 (Б/Пк), (К/Пб)</t>
  </si>
  <si>
    <t>Зеркало Адель 65 (В/Пс), (Б/Пс), (В/Пз), (Б/Пз)</t>
  </si>
  <si>
    <t>Тумба Адель 65 (В/Пс), (Б/Пс), (В/Пз), (Б/Пз)</t>
  </si>
  <si>
    <t>Зеркало Адель 100 (В/Пс), (Б/Пс), (В/Пз), (Б/Пз)</t>
  </si>
  <si>
    <t>Тумба Адель 100 (В/Пс), (Б/Пс), (В/Пз), (Б/Пз)</t>
  </si>
  <si>
    <t>Зеркало Каир 60 (Б/Пз)</t>
  </si>
  <si>
    <t>Зеркало Каир 75 (Б/Пз)</t>
  </si>
  <si>
    <t>Зеркало Каир 100 (Б/Пз)</t>
  </si>
  <si>
    <t>Зеркало Каир 120 (Б/Пз)</t>
  </si>
  <si>
    <t>Тумба Каир 60 (Б/Пз)</t>
  </si>
  <si>
    <t>Тумба Каир 75 (Б/Пз)</t>
  </si>
  <si>
    <t>Тумба Каир 100 (Б/Пз)</t>
  </si>
  <si>
    <t>Тумба Ксения 60 (подвесная)</t>
  </si>
  <si>
    <t>Тумба Ксения 60/2 (на опорах)</t>
  </si>
  <si>
    <t>Тумба Ксения 70 (подвесная)</t>
  </si>
  <si>
    <t>Тумба Ксения 70/2 (на опорах)</t>
  </si>
  <si>
    <t>Тумба Ксения 80 (подвесная)</t>
  </si>
  <si>
    <t>Тумба Ксения 80/2 (на опорах)</t>
  </si>
  <si>
    <t>Тумба Одри 60 (подвесная)</t>
  </si>
  <si>
    <t>Тумба Одри 60/2 (на опорах)</t>
  </si>
  <si>
    <t>Тумба Одри 70 (подвесная)</t>
  </si>
  <si>
    <t>Тумба Одри 70/2 (на опорах)</t>
  </si>
  <si>
    <t>* - по запросу</t>
  </si>
  <si>
    <t>ООО «ОМК»</t>
  </si>
  <si>
    <t>Карина</t>
  </si>
  <si>
    <t>470*700*140</t>
  </si>
  <si>
    <t>460*850*350</t>
  </si>
  <si>
    <t>510*700*140</t>
  </si>
  <si>
    <t>510*850*415</t>
  </si>
  <si>
    <t>550*700*140</t>
  </si>
  <si>
    <t>556*850*440</t>
  </si>
  <si>
    <t>610*700*140</t>
  </si>
  <si>
    <t>610*850*470</t>
  </si>
  <si>
    <t>400*1618*320</t>
  </si>
  <si>
    <t>Зеркало Карина 45 R/L</t>
  </si>
  <si>
    <t>Тумба Карина 45</t>
  </si>
  <si>
    <t>Зеркало Карина 50 R/L</t>
  </si>
  <si>
    <t>Тумба Карина 50</t>
  </si>
  <si>
    <t>Зеркало Карина 55 R/L</t>
  </si>
  <si>
    <t>Тумба Карина 55</t>
  </si>
  <si>
    <t>Зеркало Карина 60 R/L</t>
  </si>
  <si>
    <t>Тумба Карина 60</t>
  </si>
  <si>
    <t>Пенал Карина  R/L</t>
  </si>
  <si>
    <t>Тумба Санфлор 100 (Б)</t>
  </si>
  <si>
    <t>Тумба Рондо 60/2 (Б), (А) (ящики)</t>
  </si>
  <si>
    <t>460*730*150</t>
  </si>
  <si>
    <t>460*890*350</t>
  </si>
  <si>
    <t>550*890*460</t>
  </si>
  <si>
    <t>850*505</t>
  </si>
  <si>
    <t>Тумба Мокко 45 (В), (В/Б) R/L</t>
  </si>
  <si>
    <t>800*925*475</t>
  </si>
  <si>
    <t>972*880*154</t>
  </si>
  <si>
    <t>Сантек</t>
  </si>
  <si>
    <t>Della</t>
  </si>
  <si>
    <t>Санита</t>
  </si>
  <si>
    <t>TIMZER</t>
  </si>
  <si>
    <t>596*736*146</t>
  </si>
  <si>
    <t>600*850*460</t>
  </si>
  <si>
    <t>750*875*460</t>
  </si>
  <si>
    <t>Раковины Канны 50 (Софи 50)</t>
  </si>
  <si>
    <t>Раковина Элеганс 75 (Николь 75, Софи 75)</t>
  </si>
  <si>
    <t>750*890*511</t>
  </si>
  <si>
    <t>Зеркало Лина 65 R/L (Б)</t>
  </si>
  <si>
    <t>Полупенал Мокко (В), (В/Б) R/L верх./ниж.</t>
  </si>
  <si>
    <t>Стелла 65 (Сантек)</t>
  </si>
  <si>
    <t>Байкал 60 (Сантек)</t>
  </si>
  <si>
    <t>Антик 55 (Сантек)</t>
  </si>
  <si>
    <t>Лагуна 120 (Дрея)</t>
  </si>
  <si>
    <t>Эльбрус 100 (Сантек)</t>
  </si>
  <si>
    <t>Модерн 75 (Сантек)</t>
  </si>
  <si>
    <t>Балтика 60 (Сантек)</t>
  </si>
  <si>
    <t>750*865*450</t>
  </si>
  <si>
    <t>604*760*150</t>
  </si>
  <si>
    <t>Зеркало Валлетта 80 (Ч), (ZP) L/R</t>
  </si>
  <si>
    <t>Пенал Валлетта (Ч), (ZP) R/L</t>
  </si>
  <si>
    <t>Тумба Валетта 60 (Ч), (ZP)</t>
  </si>
  <si>
    <t>280*736*308</t>
  </si>
  <si>
    <t>875*875*505</t>
  </si>
  <si>
    <t>Элеганс 75 (Киров)</t>
  </si>
  <si>
    <t>Канны 50 (Сантек)</t>
  </si>
  <si>
    <t>Селигер 60 (Сантек)</t>
  </si>
  <si>
    <t>1060*490*155</t>
  </si>
  <si>
    <t>Производитель</t>
  </si>
  <si>
    <t>750*895*450</t>
  </si>
  <si>
    <t>1060*900*490</t>
  </si>
  <si>
    <t>Зеркало Рио 120</t>
  </si>
  <si>
    <t>Зеркало Софи 100</t>
  </si>
  <si>
    <t>Тумба Софи 100</t>
  </si>
  <si>
    <t>800*728*145</t>
  </si>
  <si>
    <t>1002*744*160</t>
  </si>
  <si>
    <t>1050*880*490</t>
  </si>
  <si>
    <t>Тигода 60 (Сантек)</t>
  </si>
  <si>
    <t>Тигода 70 (Сантек)</t>
  </si>
  <si>
    <t>650*890*450</t>
  </si>
  <si>
    <t>320*1950*336</t>
  </si>
  <si>
    <t>820*744*153</t>
  </si>
  <si>
    <t>Калипсо 60 (Kirovit)</t>
  </si>
  <si>
    <t>Уют 55 (Rosa)</t>
  </si>
  <si>
    <t>Гамма (Kirovit)</t>
  </si>
  <si>
    <t>Ларго 2
(подвесная)</t>
  </si>
  <si>
    <t>Уют 45 (Rosa)</t>
  </si>
  <si>
    <t>Элеганс 75 (Kirovit)</t>
  </si>
  <si>
    <t>Rosa</t>
  </si>
  <si>
    <t>Kirovit</t>
  </si>
  <si>
    <t>Тумба Мехико 60 (ШВ)</t>
  </si>
  <si>
    <t>Тумба Мехико 70 (ШВ)</t>
  </si>
  <si>
    <t>Тумба Мехико 90 (ШВ)</t>
  </si>
  <si>
    <t>Next 90 (Санита Люкс)</t>
  </si>
  <si>
    <t>Рекомендованная
розничная цена (руб.)</t>
  </si>
  <si>
    <t>800*591*475</t>
  </si>
  <si>
    <t>Тигода 80 (Сантек)</t>
  </si>
  <si>
    <t>Калипсо 70 (Kirovit)</t>
  </si>
  <si>
    <t>Зеркало Эмилия 60 R/L (ОГ/Пз)*, (Дм/Пз)</t>
  </si>
  <si>
    <t>Тумба Эмилия 60 (ОГ/Пз)*, (Дм/Пз)</t>
  </si>
  <si>
    <t>Пенал Эмилия R/L (ОГ/Пз)*, (Дм/Пз) (корзина)</t>
  </si>
  <si>
    <t>Тумба Марсель 60 (В/Б)</t>
  </si>
  <si>
    <t>Тумба Торонто 60 (В/ОС), (В/СДс)</t>
  </si>
  <si>
    <t>Коралл 83 L/R (Сантек)</t>
  </si>
  <si>
    <t>614*750*145</t>
  </si>
  <si>
    <t>714*750*146</t>
  </si>
  <si>
    <t>Зеркало Палермо 105</t>
  </si>
  <si>
    <t>Тумба Палермо 65</t>
  </si>
  <si>
    <t>614*770*300</t>
  </si>
  <si>
    <t>Тумба Палермо 75</t>
  </si>
  <si>
    <t>714*770*326</t>
  </si>
  <si>
    <t>Тумба Палермо 105</t>
  </si>
  <si>
    <t>1004*770*326</t>
  </si>
  <si>
    <t>Пенал Палермо L/R</t>
  </si>
  <si>
    <t>320*2000*310</t>
  </si>
  <si>
    <t>Уют 50 (Rosa)</t>
  </si>
  <si>
    <t>Уют 60 (Rosa)</t>
  </si>
  <si>
    <t>Раковина Селигер 60 (Валлетта 60, Софи 60)</t>
  </si>
  <si>
    <t>Зеркало Санфлор 100 (Б), (К)</t>
  </si>
  <si>
    <t>Тумба Каир 120 (Б/Пз) (продажи преостановлены до сентября)</t>
  </si>
  <si>
    <t>Тумба Элен 120 (Б/Пс) (снято с производства до сентября)</t>
  </si>
  <si>
    <t>Q 60 (Дрея)</t>
  </si>
  <si>
    <t>Q 70 (Дрея)</t>
  </si>
  <si>
    <t>Q 80 (Дрея)</t>
  </si>
  <si>
    <t>610*820*180</t>
  </si>
  <si>
    <t>710*820*180</t>
  </si>
  <si>
    <t>910*820*180</t>
  </si>
  <si>
    <t>610*760*445</t>
  </si>
  <si>
    <t>710*760*445</t>
  </si>
  <si>
    <t>910*760*445</t>
  </si>
  <si>
    <t>320*1850*300</t>
  </si>
  <si>
    <t>Лагуна 105 (Дрея)</t>
  </si>
  <si>
    <t>Лагуна 75 (Дрея)</t>
  </si>
  <si>
    <t>Лагуна 65 (Дрея)</t>
  </si>
  <si>
    <t>Раковина Коралл 83 R/L (Адель, Валлетта)</t>
  </si>
  <si>
    <t>Раковина Next 90 (Мехико 90)</t>
  </si>
  <si>
    <t>Санита Люкс</t>
  </si>
  <si>
    <t>Раковина Лагуна 65 (Палермо 65)</t>
  </si>
  <si>
    <t>Раковина Лагуна 75 (Палермо 75)</t>
  </si>
  <si>
    <t>Раковина Лагуна 105 (Палермо 105)</t>
  </si>
  <si>
    <t>Раковина Brava 120 (Рио 120, 120/2)</t>
  </si>
  <si>
    <t>Раковина Модерн 75 (Каир 75, Элен 75, Софи 75)</t>
  </si>
  <si>
    <t>Раковина Гамма Kirovit (Румба 60, 82, 120)</t>
  </si>
  <si>
    <t>Раковина Уют 50 (Карина 50)</t>
  </si>
  <si>
    <t>Раковина Уют 60 (Карина 60)</t>
  </si>
  <si>
    <t>Раковина Уют 45 (Илона 45, Карина 45, Мокко 45)</t>
  </si>
  <si>
    <t>Раковина Brava 100 (Рио 100, 100/2)</t>
  </si>
  <si>
    <t>Зеркало Рио 100</t>
  </si>
  <si>
    <t>1000*900*115</t>
  </si>
  <si>
    <t>1000*370*460</t>
  </si>
  <si>
    <t>1000*875*460</t>
  </si>
  <si>
    <t>Brava 100 (Della)</t>
  </si>
  <si>
    <t>Зеркало Одри 60</t>
  </si>
  <si>
    <t>Зеркало Одри 70</t>
  </si>
  <si>
    <t>Зеркало Одри 80</t>
  </si>
  <si>
    <t>400*2000*316</t>
  </si>
  <si>
    <t>400*1330*315</t>
  </si>
  <si>
    <t>610*845*445</t>
  </si>
  <si>
    <t>510*415*180</t>
  </si>
  <si>
    <t>610*445*105</t>
  </si>
  <si>
    <t>710*440*110</t>
  </si>
  <si>
    <t>750*475*65</t>
  </si>
  <si>
    <t>895*447*179</t>
  </si>
  <si>
    <t>1000*455*189</t>
  </si>
  <si>
    <t>1050*475*65</t>
  </si>
  <si>
    <t>1200*455*190</t>
  </si>
  <si>
    <t>Пенал Ксения R/L</t>
  </si>
  <si>
    <t>Зеркало Венеция 60</t>
  </si>
  <si>
    <t>Тумба Венеция 60</t>
  </si>
  <si>
    <t>Зеркало Адель 82 (В/Пс), (Б/Пс), (В/Пз), (Б/Пз)</t>
  </si>
  <si>
    <t>Тумба Адель 82 (В/Пс), (Б/Пс), (В/Пз), (Б/Пз) R/L</t>
  </si>
  <si>
    <t>824*850*155</t>
  </si>
  <si>
    <t>840*865*515</t>
  </si>
  <si>
    <t>Пенал Рондо (Б), (А) R/L</t>
  </si>
  <si>
    <t>Пенал Белла (Ш/Пз), (Б/Пс) R/L</t>
  </si>
  <si>
    <t>Пенал Адель  (В/Пс), (Б/Пс), (В/Пз), (Б/Пз) R/L</t>
  </si>
  <si>
    <t>Полупенал Румба нижний (В/Пс), (В/Пз) R/L</t>
  </si>
  <si>
    <t>Полупенал Румба верхний (В/Пс), (В/Пз) R/L</t>
  </si>
  <si>
    <t>Пенал Румба I (В/Пс), (В/Пз) (1а дверца) R/L</t>
  </si>
  <si>
    <t>Пенал Румба III (В/Пс), (В/Пз) (3и дверцы) R/L</t>
  </si>
  <si>
    <t>Адель
(на опорах)</t>
  </si>
  <si>
    <t>Румба
(подвесная)</t>
  </si>
  <si>
    <t>Санфлор
(подвесная)</t>
  </si>
  <si>
    <t>Пенал Санфлор 100 (Б/Пк), (К/Пб) R/L</t>
  </si>
  <si>
    <t>Пенал Санфлор 100 (Б) R/L</t>
  </si>
  <si>
    <t>Тумба Бэтта 80 (Ч), (Z) (дверцы)</t>
  </si>
  <si>
    <t>Тумба Бэтта 70/2 (Ч) (ящики)</t>
  </si>
  <si>
    <t>Зеркало Валлетта 60 (Ч), (ZP) L/R</t>
  </si>
  <si>
    <t>Пенал Каир (Б/Пз) R/L</t>
  </si>
  <si>
    <t xml:space="preserve">Пенал Ларго2 (ШВ/Б) R/L </t>
  </si>
  <si>
    <t>Пенал Марсель (В/Б) R/L</t>
  </si>
  <si>
    <t xml:space="preserve">Зеркало Мехико 60 (ШВ) (R/L) </t>
  </si>
  <si>
    <t xml:space="preserve">Зеркало Мехико 90 (ШВ) (R/L) </t>
  </si>
  <si>
    <t xml:space="preserve">Зеркало Мехико 70 (ШВ) (R/L) </t>
  </si>
  <si>
    <t xml:space="preserve">Пенал Мехико (ШВ) (R/L) </t>
  </si>
  <si>
    <t>Зеркало Торонто 60 (В/ОС), (В/СДс) R/L</t>
  </si>
  <si>
    <t>Пенал Торонто 32 (В/ОС), (В/СДс) R/L</t>
  </si>
  <si>
    <t>Пенал Элен (Б/Пс) R/L</t>
  </si>
  <si>
    <t>Зеркало Илона 55 R/L</t>
  </si>
  <si>
    <t>Тумба Илона 45 R/L</t>
  </si>
  <si>
    <t>Тумба Илона 55</t>
  </si>
  <si>
    <t>Раковина Эльбрус 100 (Адель 100)</t>
  </si>
  <si>
    <t>Зеркало Марсель 60 (В)</t>
  </si>
  <si>
    <t>Зеркало Венеция 75</t>
  </si>
  <si>
    <t>743*751*140</t>
  </si>
  <si>
    <t>Тумба Венеция 75</t>
  </si>
  <si>
    <t>Зеркало Торонто 75 (В/ОС), (В/СДс) R/L</t>
  </si>
  <si>
    <t>740*736*146</t>
  </si>
  <si>
    <t>Тумба Торонто 75 (В/ОС), (В/СДс)</t>
  </si>
  <si>
    <t>750*861*460</t>
  </si>
  <si>
    <t>690*736*146</t>
  </si>
  <si>
    <t>710*845*445</t>
  </si>
  <si>
    <t>Тумба Каир 120 (Б/Пз)</t>
  </si>
  <si>
    <t>Тумба Бэтта 80/2 (Ч) (ящики)</t>
  </si>
  <si>
    <t>Расшифровка цветовой аббревиатуры</t>
  </si>
  <si>
    <t>Зеркало Толедо 50 (В/З), (В/СДс), (В/О)</t>
  </si>
  <si>
    <t>Зеркало Толедо 60 (В/З), (В/СДс), (В/О)</t>
  </si>
  <si>
    <t>Зеркало Толедо 75 (В/З), (В/СДс), (В/О)</t>
  </si>
  <si>
    <t>Зеркало Толедо 85 (В/З), (В/СДс), (В/О)</t>
  </si>
  <si>
    <t>Зеркало Толедо 105 (В/З), (В/СДс), (В/О)</t>
  </si>
  <si>
    <t>Тумба Толедо 60 (В/З), (В/СДс), (В/О)</t>
  </si>
  <si>
    <t>Тумба Толедо 75 (В/З), (В/СДс), (В/О)</t>
  </si>
  <si>
    <t>Тумба Толедо 85 (В/З), (В/СДс), (В/О)</t>
  </si>
  <si>
    <t>Тумба Толедо 105 (В/З), (В/СДс), (В/О)</t>
  </si>
  <si>
    <t>Пенал Толедо (В/З), (В/СДс), (В/О) L/R</t>
  </si>
  <si>
    <t>Тумба Толедо 50 (В/З), (В/СДс), (В/О) R/L</t>
  </si>
  <si>
    <t>Quadro 60 (Санита)</t>
  </si>
  <si>
    <t>Quadro 75 (Санита)</t>
  </si>
  <si>
    <t>Элеганс 50 (Rosa)</t>
  </si>
  <si>
    <t>Элеганс 60 (Rosa)</t>
  </si>
  <si>
    <t>Элеганс 85 (Kirovit)</t>
  </si>
  <si>
    <t>454*736*146</t>
  </si>
  <si>
    <t>554*736*146</t>
  </si>
  <si>
    <t>694*736*146</t>
  </si>
  <si>
    <t>834*736*146</t>
  </si>
  <si>
    <t>1004*736*146</t>
  </si>
  <si>
    <t>454*850*294</t>
  </si>
  <si>
    <t>554*850*316</t>
  </si>
  <si>
    <t>694*850*316</t>
  </si>
  <si>
    <t>834*850*338</t>
  </si>
  <si>
    <t>1008*850*338</t>
  </si>
  <si>
    <t>324*1948*338</t>
  </si>
  <si>
    <t>Цена
ОПТ 1</t>
  </si>
  <si>
    <t>Тумба Одри 80 (подвесная)</t>
  </si>
  <si>
    <t xml:space="preserve">Тумба Одри 80/2 (на опорах) </t>
  </si>
  <si>
    <t>Тумба Одри 80/2 (на опорах)</t>
  </si>
  <si>
    <t>400*42*160</t>
  </si>
  <si>
    <t>Шкаф навесной Палермо</t>
  </si>
  <si>
    <t>600*750*310</t>
  </si>
  <si>
    <t>Шкаф навесной Торонто (В/ОС), (В/СДс)</t>
  </si>
  <si>
    <t>Тумба Анкона 60 (Б)</t>
  </si>
  <si>
    <t>Тумба Анкона 70 (Б)</t>
  </si>
  <si>
    <t>Пенал Анкона (Б) L/R</t>
  </si>
  <si>
    <t>Зеркало Турин 60 (В/СДс), (В/О)</t>
  </si>
  <si>
    <t>Зеркало Турин 80 (В/СДс), (В/О)</t>
  </si>
  <si>
    <t>Зеркало Турин 100 (В/СДс), (В/О)</t>
  </si>
  <si>
    <t>Тумба Турин 60 (В/СДс), (В/О)</t>
  </si>
  <si>
    <t>Тумба Турин 80 (В/СДс), (В/О)</t>
  </si>
  <si>
    <t>Тумба Турин 100 (В/СДс), (В/О)</t>
  </si>
  <si>
    <t>556*440*180</t>
  </si>
  <si>
    <t>610*470*180</t>
  </si>
  <si>
    <t>650*420*185</t>
  </si>
  <si>
    <t>Пенал Турин (В/СДс), (В/О) R/L</t>
  </si>
  <si>
    <t>Светильник к Зеркалу Одри/Ларго LED BETUM IP44 серебро светодиодный</t>
  </si>
  <si>
    <t>492*651*140</t>
  </si>
  <si>
    <t>492*820*300</t>
  </si>
  <si>
    <t>Зеркало Мокко 50 (Б), (В)</t>
  </si>
  <si>
    <t>Зеркало Мокко 45 (В)</t>
  </si>
  <si>
    <t>Тумба Мокко 60 (Б), (В), (В/Б) сплит-упаковка</t>
  </si>
  <si>
    <t>Тумба Мокко 50 (Б), (В), (В/Б), сплит-упаковка</t>
  </si>
  <si>
    <t>576*880*146</t>
  </si>
  <si>
    <t>750*880*146</t>
  </si>
  <si>
    <t>964*880*146</t>
  </si>
  <si>
    <t>605*865*470</t>
  </si>
  <si>
    <t>780*865*470</t>
  </si>
  <si>
    <t>1005*865*470</t>
  </si>
  <si>
    <t>324*1950*338</t>
  </si>
  <si>
    <t>Эйфория 60 (Дрея)</t>
  </si>
  <si>
    <t>Эйфория 80 (Дрея)</t>
  </si>
  <si>
    <t>Эйфория 100 (Дрея)</t>
  </si>
  <si>
    <t>Элеганс 105 (Kirovit)</t>
  </si>
  <si>
    <t>Классик 120 (Kirovit)</t>
  </si>
  <si>
    <t>Элвис 85 (Kirovit)</t>
  </si>
  <si>
    <t>Рондо
(подвесная)
РАСПРОДАЖА</t>
  </si>
  <si>
    <t>Тумба Рио 100 (подвесная)</t>
  </si>
  <si>
    <t>Тумба Рио 100/2 (на опорах)</t>
  </si>
  <si>
    <t>Тумба Техас 60 (В/СДс), (В/О), (В/З) сплит-упаковка</t>
  </si>
  <si>
    <t>Тумба Техас 70 (В/СДс), (В/О), (В/З) сплит-упаковка</t>
  </si>
  <si>
    <t>Тумба Турин 60 (В/СДс), (В/О) сплит-упаковка</t>
  </si>
  <si>
    <t>Тумба Турин 80 (В/СДс), (В/О) сплит-упаковка</t>
  </si>
  <si>
    <t>Тумба Турин 100 (В/СДс), (В/О) сплит-упаковка</t>
  </si>
  <si>
    <t xml:space="preserve">Пенал Венеция R/L </t>
  </si>
  <si>
    <t>Пенал Элен (Б/Пс) R/L с корзиной для белья</t>
  </si>
  <si>
    <t>Triumph (Myjoys)</t>
  </si>
  <si>
    <t>580*780*155</t>
  </si>
  <si>
    <t>680*780*155</t>
  </si>
  <si>
    <t>605*875*405</t>
  </si>
  <si>
    <t>705*870*460</t>
  </si>
  <si>
    <t>350*720*136</t>
  </si>
  <si>
    <t>350*517*298</t>
  </si>
  <si>
    <t>Бетта
РАСПРОДАЖА</t>
  </si>
  <si>
    <t>Зеркало Техас 60 (В/СДс), (В/О), (В/З)  R/L</t>
  </si>
  <si>
    <t>Зеркало Техас 70 (В/СДс), (В/О), (В/З)  R/L</t>
  </si>
  <si>
    <t>Тумба Техас 60 (В/СДс), (В/О), (В/З)</t>
  </si>
  <si>
    <t>Тумба Техас 70 (В/СДс), (В/О), (В/З)</t>
  </si>
  <si>
    <t>Тумба Карина 50 сплит-упаковка</t>
  </si>
  <si>
    <t>Зеркало Лина 55 (Б) R/L</t>
  </si>
  <si>
    <t>Тумба Лина 55 (Б)</t>
  </si>
  <si>
    <t>830*830*25</t>
  </si>
  <si>
    <t>865*480*485</t>
  </si>
  <si>
    <t>1011*751*140</t>
  </si>
  <si>
    <t>1010*890*470</t>
  </si>
  <si>
    <t>Нео 40 (Сантек)</t>
  </si>
  <si>
    <t>Илона
Снята с производства, уточняйте остатки</t>
  </si>
  <si>
    <t>Зеркало Муза 65 R/L (Б)</t>
  </si>
  <si>
    <t>Тумба Муза 65 (Б)</t>
  </si>
  <si>
    <t>Толедо</t>
  </si>
  <si>
    <t>Турин</t>
  </si>
  <si>
    <t>Тумба Элен 120 (Б/Пс) возобновляем с раковинами Лагуна</t>
  </si>
  <si>
    <t>Сенеж 87 (Сантек)</t>
  </si>
  <si>
    <t>Вес брутто,
кг.</t>
  </si>
  <si>
    <t>Объём,
м3</t>
  </si>
  <si>
    <t xml:space="preserve">Пенал Рио/2 R/L (на опорах) </t>
  </si>
  <si>
    <t>TS-15100 (Vega 100/Betta 100)</t>
  </si>
  <si>
    <t>Зеркало Анкона 60 (Б) L/R</t>
  </si>
  <si>
    <t>Зеркало Анкона 70 (Б) L/R</t>
  </si>
  <si>
    <t>605*865*471</t>
  </si>
  <si>
    <t>780*865*471</t>
  </si>
  <si>
    <t>1005*865*471</t>
  </si>
  <si>
    <t>Тумба Румба 60/2 с ящиками (В/Пс), (В/Пз) НОВИНКА</t>
  </si>
  <si>
    <t>Зеркало Ларго 120 (В/ШВ) РАСПРОДАЖА</t>
  </si>
  <si>
    <t>Мехико</t>
  </si>
  <si>
    <t>Пенал Одри/2 R/L (на опорах)</t>
  </si>
  <si>
    <t>Пенал Одри/Рио R/L (подвесной)</t>
  </si>
  <si>
    <t>Зеркало Сити 60 ANTI-STEAM</t>
  </si>
  <si>
    <t>Пенал Одри/Рио  R/L (подвесной)</t>
  </si>
  <si>
    <t>Зеркало Мокко 60 (Б), (В)</t>
  </si>
  <si>
    <t>Тумба Мокко 60 (В), (В/Б)</t>
  </si>
  <si>
    <t>Тумба Толедо 75 (В/З), (В/СДс), (В/О) R/L сплит-упаковка</t>
  </si>
  <si>
    <t>Тумба Толедо 85 (В/З), (В/СДс), (В/О) R/L сплит-упаковка</t>
  </si>
  <si>
    <t>Тумба Толедо 105 (В/З), (В/СДс), (В/О) R/L сплит-упаковка</t>
  </si>
  <si>
    <t>Тумба Толедо 60 (В/З), (В/СДс), (В/О) R/L сплит-упаковка</t>
  </si>
  <si>
    <t>Тумба Толедо 50 (В/З), (В/СДс), (В/О) R/L сплит-упаковка</t>
  </si>
  <si>
    <t>Ларго
(на опорах)
ЦВЕТ В/ШВ снят с производства, уточняйте остатки на складе</t>
  </si>
  <si>
    <t>Зеркало Ларго 40 (ШВ) НОВИНКА</t>
  </si>
  <si>
    <t>Тумба Ларго2 70 (ШВ); цвет (В/ШВ) снят с производства, уточняйте остатки</t>
  </si>
  <si>
    <t>Пенал Ларго2 (ШВ) R/L; цвет (В/ШВ) снят с производства, уточняйте остатки</t>
  </si>
  <si>
    <t>Марсель
распродажа
(уточняйте остатки)</t>
  </si>
  <si>
    <t>Элен
Замена 120 раковины
Корзина в пенале - доп.опция</t>
  </si>
  <si>
    <t>Техас
Снижение отпускной цены</t>
  </si>
  <si>
    <t>Сопутствующий товар</t>
  </si>
  <si>
    <t>Светильник LED FIALIS (Аккумулятор)</t>
  </si>
  <si>
    <t>Светильник LED Liana</t>
  </si>
  <si>
    <t>Светильник  для петли 35мм (ВИБРО-ДАТЧИК)</t>
  </si>
  <si>
    <t>Светильник  для ящика (ВИБРО-ДАТЧИК)</t>
  </si>
  <si>
    <t>Светильник для шкафа (ДАТЧИК ДВИЖЕНИЯ)</t>
  </si>
  <si>
    <t xml:space="preserve"> </t>
  </si>
  <si>
    <t>(А) - апельсиновый</t>
  </si>
  <si>
    <t>(Б) - белый глянец</t>
  </si>
  <si>
    <t>450*290*181</t>
  </si>
  <si>
    <t>400*340*170</t>
  </si>
  <si>
    <t>Зеркало Палермо 120</t>
  </si>
  <si>
    <t>1162*750*145</t>
  </si>
  <si>
    <t>Тумба Палермо 120</t>
  </si>
  <si>
    <t>1162*770*330</t>
  </si>
  <si>
    <t>1004*750*145</t>
  </si>
  <si>
    <t>TIMZER TS-27785 SAKURA 120 см.</t>
  </si>
  <si>
    <t>Раковина Тигода 70 (Ксения 70, 70/2, Ларго 70, Ларго 2 70, Одри 70, Одри 70/2)</t>
  </si>
  <si>
    <t>Раковина Тигода 80 (Ксения 80, 80/2, Ларго 80, Ларго2 80, Одри 80, Одри 80/2)</t>
  </si>
  <si>
    <t>Раковина Quadro 60 (Венеция 60, Торонто 60)</t>
  </si>
  <si>
    <t>Глория
НОВИНКА</t>
  </si>
  <si>
    <t>Тумба Глория 65 (Б), (С), (Г)</t>
  </si>
  <si>
    <t>Тумба Глория 85 (Б), (С), (Г)</t>
  </si>
  <si>
    <t>Тумба Глория 105 (Б), (С), (Г)</t>
  </si>
  <si>
    <t>596*710*142</t>
  </si>
  <si>
    <t>822*710*142</t>
  </si>
  <si>
    <t>1000*710*142</t>
  </si>
  <si>
    <t>596*850*338</t>
  </si>
  <si>
    <t>822*850*334</t>
  </si>
  <si>
    <t>320*1516*346</t>
  </si>
  <si>
    <t>Дрея 65 (Dreja)</t>
  </si>
  <si>
    <t>Дрея 85 (Dreja)</t>
  </si>
  <si>
    <t>Дрея 105 (Dreja)</t>
  </si>
  <si>
    <t>1050*850*338</t>
  </si>
  <si>
    <t>Зеркало Венеция 100</t>
  </si>
  <si>
    <t>Тумба Венеция 100</t>
  </si>
  <si>
    <t>Зеркало Санфлор 85 (Б) зеркало в раме</t>
  </si>
  <si>
    <t>Тумба Санфлор 85 (Б)</t>
  </si>
  <si>
    <t>Анкона</t>
  </si>
  <si>
    <t>Тумба Софи 85</t>
  </si>
  <si>
    <t>Раковина Дрея 65 (Глория 65)</t>
  </si>
  <si>
    <t>656*521*215</t>
  </si>
  <si>
    <t>Dreja</t>
  </si>
  <si>
    <t>Раковина Дрея 85 (Глория 85)</t>
  </si>
  <si>
    <t>880*515*215</t>
  </si>
  <si>
    <t>Раковина Дрея 105 (Глория 105)</t>
  </si>
  <si>
    <t>1050*515*225</t>
  </si>
  <si>
    <t>Раковина Нео 40 (Ларго2 40)</t>
  </si>
  <si>
    <t>Раковина Байкал 60 (Мокко 60)</t>
  </si>
  <si>
    <t>Раковина Балтика 60 (Каир 60, Марсель 60, Элен 60)</t>
  </si>
  <si>
    <t>Раковина Стелла 65 (Адель 65, Лина 65, Муза 65, Николь 65, Софи 65)</t>
  </si>
  <si>
    <t>Раковина Тигода 60 (Рондо 60/2, Ксения 60, 60/2, Ларго 60, Ларго2 60, Одри 60, 60/2)</t>
  </si>
  <si>
    <t>Раковина Лагуна 120 (Элен 120, Палермо 120)</t>
  </si>
  <si>
    <t>Раковина Классик 120 (Каир 120)</t>
  </si>
  <si>
    <t>Раковина Quadro 75 (Венеция 75, Торонто 75)</t>
  </si>
  <si>
    <t>Палермо</t>
  </si>
  <si>
    <t>Техас</t>
  </si>
  <si>
    <t>Бетта</t>
  </si>
  <si>
    <t>Глория</t>
  </si>
  <si>
    <t>Белла</t>
  </si>
  <si>
    <t>Подсветка</t>
  </si>
  <si>
    <t>нет</t>
  </si>
  <si>
    <t>светильник (2)</t>
  </si>
  <si>
    <t>светильник (1)</t>
  </si>
  <si>
    <t>Розетка/
выключатель</t>
  </si>
  <si>
    <t>встройка (1)</t>
  </si>
  <si>
    <t>встройка (2)</t>
  </si>
  <si>
    <t>встройка (3)</t>
  </si>
  <si>
    <t>встройка (65-1, 75-2)</t>
  </si>
  <si>
    <t>встройка (60-1, 70-2)</t>
  </si>
  <si>
    <t>встройка (60-1, 80, 100 - 2)</t>
  </si>
  <si>
    <t>встройка (50, 60, 65 - 1, 75, 85, 100 - 2)</t>
  </si>
  <si>
    <t>встройка (50, 60 - 1, 75, 85, 105 - 2)</t>
  </si>
  <si>
    <t>Полка</t>
  </si>
  <si>
    <t>да</t>
  </si>
  <si>
    <t>отдельно</t>
  </si>
  <si>
    <t>Шкаф</t>
  </si>
  <si>
    <t>Раковина Q 60 (Рондо 60/2, Ксения 60, 60/2, Ларго 60, Ларго2 60, Одри 60, 60/2)</t>
  </si>
  <si>
    <t>Раковина Q 70 (Рондо 70/2, Ксения 70, 70/2, Ларго 70, Ларго2 70, Одри 70, 70/2)</t>
  </si>
  <si>
    <t>Раковина Q 80 (Рондо 80/2, Ксения 80, 80/2, Ларго 80, Ларго2 80, Одри 80, 80/2)</t>
  </si>
  <si>
    <t>Раковины Антик 55 (Илона 55, Лина 55)</t>
  </si>
  <si>
    <t>Раковина Элеганс 105 (Каир 100, Элен 100, Софи 100, Толедо 105)</t>
  </si>
  <si>
    <t>755х210х490</t>
  </si>
  <si>
    <t>22</t>
  </si>
  <si>
    <t>Раковина Уют 55 (Карина 55, Николь 55)</t>
  </si>
  <si>
    <t>Раковина Калипсо 60 (Мехико 60, Техас 60)</t>
  </si>
  <si>
    <t>Раковина Калипсо 70 (Мехико 70, Техас 70)</t>
  </si>
  <si>
    <t>Раковина Элеганс 50 (Толедо 50)</t>
  </si>
  <si>
    <t>Раковина Элеганс 60 (Толедо 60)</t>
  </si>
  <si>
    <t>Раковина Элеганс 85 (Толедо 85)</t>
  </si>
  <si>
    <t>Раковина Эйфория 60 (Турин 60)</t>
  </si>
  <si>
    <t>Раковина Эйфория 80 (Турин 80)</t>
  </si>
  <si>
    <t>Раковина Эйфория 100 (Турин 100)</t>
  </si>
  <si>
    <t>Раковина Фостер 60 (Анкона 60)</t>
  </si>
  <si>
    <t>Раковина Фостер 70 (Анкона 70)</t>
  </si>
  <si>
    <t>Раковина  TIMZER TS-54089 OCEANIDA (Бэлла 100, Венеция 100)</t>
  </si>
  <si>
    <t>Вес брутто,
кг.
Раковины</t>
  </si>
  <si>
    <t>Объём,
м3
Раковины</t>
  </si>
  <si>
    <t>Белла
(повесная)
*под заказ</t>
  </si>
  <si>
    <t>Рио
Смена раковины
Уточняйте остатки</t>
  </si>
  <si>
    <t>Зеркало Сити 70 ANTI-STEAM</t>
  </si>
  <si>
    <t>700*735*36</t>
  </si>
  <si>
    <t>Торонто
Выводим из ассортимента</t>
  </si>
  <si>
    <t>Пенал Техас (В/СДс), (В/О), (В/З)  R/L</t>
  </si>
  <si>
    <t>Зеркало Илона 45 R</t>
  </si>
  <si>
    <t>Александрия
НОВИНКА</t>
  </si>
  <si>
    <t>Зеркало Александрия 80</t>
  </si>
  <si>
    <t>Тумба Александрия 80 (Б/Пз)</t>
  </si>
  <si>
    <t>Пенал Александрия (Б/Пз) L/R</t>
  </si>
  <si>
    <t>Бельканто
НОВИНКА</t>
  </si>
  <si>
    <t>Зеркало Бельканто 105 (Б)</t>
  </si>
  <si>
    <t>Тумба Бельканто 105 (Б)</t>
  </si>
  <si>
    <t>Пенал Бельканто (Б) L/R</t>
  </si>
  <si>
    <t>Модерн 105 (Kirovit)</t>
  </si>
  <si>
    <t>Ванесса
НОВИНКА</t>
  </si>
  <si>
    <t>Зеркало Ванесса 75 (Б), (И)</t>
  </si>
  <si>
    <t>Тумба Ванесса 75 (Б), (И) подвесная</t>
  </si>
  <si>
    <t>Пенал Ванесса (Б), (И) L/R подвесной</t>
  </si>
  <si>
    <t>Оскар 75 (Kirovit)</t>
  </si>
  <si>
    <t>Тумба Ванесса 75/2 (Б), (И) на опорах</t>
  </si>
  <si>
    <t>Пенал Ванесса/2 (Б), (И) L/R на опорах</t>
  </si>
  <si>
    <t>Тумба Валетта 80 (Ч), (ZP) L/R левое и правое крыло</t>
  </si>
  <si>
    <t>Тумба Бэтта 60/2 (Z) ящики</t>
  </si>
  <si>
    <t>Тумба Бэтта 60/2 (Z) (ящики</t>
  </si>
  <si>
    <t>Ингрид
НОВИНКА</t>
  </si>
  <si>
    <t>Тумба Ингрид 80 (Шв/Б)</t>
  </si>
  <si>
    <t>Зеркало Ингрид 80 (Шв/Б)</t>
  </si>
  <si>
    <t>Олимпия 56 (Kirovit)</t>
  </si>
  <si>
    <t>Тумба Ларго 120 (ШВ), (В/ШВ) раковина с допскидкой</t>
  </si>
  <si>
    <t>Сити
Новый размер</t>
  </si>
  <si>
    <t>Зеркало Чикаго 65 (Дкб)</t>
  </si>
  <si>
    <t>Зеркало Чикаго 75 (Дкб)</t>
  </si>
  <si>
    <t>Тумба Чикаго 65 (Дкб)</t>
  </si>
  <si>
    <t>Тумба Чикаго 75 (Дкб)</t>
  </si>
  <si>
    <t>Чикаго
НОВИНКА
подвесная</t>
  </si>
  <si>
    <t>Пенал Чикаго (Дкб) L/R</t>
  </si>
  <si>
    <t>Оскар 65 (Kirovit)</t>
  </si>
  <si>
    <t>Турин
Снижение цены на раковину</t>
  </si>
  <si>
    <t>800*800*36</t>
  </si>
  <si>
    <t>780*520*800</t>
  </si>
  <si>
    <t>372*1744*336</t>
  </si>
  <si>
    <t>990*720*40</t>
  </si>
  <si>
    <t>1065*940*505</t>
  </si>
  <si>
    <t>314*1332*323</t>
  </si>
  <si>
    <t>720*720*20</t>
  </si>
  <si>
    <t>760*445*475</t>
  </si>
  <si>
    <t>760*850*475</t>
  </si>
  <si>
    <t>342*1410*322</t>
  </si>
  <si>
    <t>342*1830*322</t>
  </si>
  <si>
    <t>800*700*136</t>
  </si>
  <si>
    <t>800*840*450</t>
  </si>
  <si>
    <t>500*1410*350</t>
  </si>
  <si>
    <t>612*820*186</t>
  </si>
  <si>
    <t>712*820*186</t>
  </si>
  <si>
    <t>660*530*475</t>
  </si>
  <si>
    <t>760*530*475</t>
  </si>
  <si>
    <t>400*1520*257</t>
  </si>
  <si>
    <t>Пенал Ингрид 80 (Шв/Б)</t>
  </si>
  <si>
    <t>Пенал Ларго (ШВ/Б) L/R</t>
  </si>
  <si>
    <t>Фостер 60 (Kirovit)</t>
  </si>
  <si>
    <t>Фостер 70 (Kirovit)</t>
  </si>
  <si>
    <t>Зеркало Глория 65 (Б), (С), (Г) L/R</t>
  </si>
  <si>
    <t>Зеркало Глория 85 (Б), (С), (Г) L/R</t>
  </si>
  <si>
    <t>Пенал Глория (Б), (С), (Г) L/R</t>
  </si>
  <si>
    <t>Зеркало Глория 105 (Б), (С), (Г)</t>
  </si>
  <si>
    <t>Зеркало Ларго 70 (ШВ) R/L; цвет (В/ШВ) снят с производства, уточняйте остатки</t>
  </si>
  <si>
    <t>Зеркало Ларго 80 (ШВ) R/L; цвет (В/ШВ) снят с производства, уточняйте остатки</t>
  </si>
  <si>
    <t>Тумба Ларго 70 (ШВ); цвет (В/ШВ) снят с производства, уточняйте остатки</t>
  </si>
  <si>
    <t>Тумба Ларго 80 (ШВ); цвет (В/ШВ) снят с производства, уточняйте остатки</t>
  </si>
  <si>
    <r>
      <t xml:space="preserve">Тумба Ларго2 40 (ШВ) </t>
    </r>
    <r>
      <rPr>
        <b/>
        <sz val="10"/>
        <color theme="1"/>
        <rFont val="Times New Roman"/>
        <family val="1"/>
        <charset val="204"/>
      </rPr>
      <t>НОВИНКА</t>
    </r>
  </si>
  <si>
    <t>Зеркало Ларго 60 (ШВ) R/L</t>
  </si>
  <si>
    <t>Тумба Ларго 60 (ШВ)</t>
  </si>
  <si>
    <t>Пенал Ларго (ШВ) L/R; цвет (В/ШВ) снят с производства, уточняйте остатки</t>
  </si>
  <si>
    <t>Тумба Ларго2 60 (ШВ)</t>
  </si>
  <si>
    <t>Тумба Ларго2 80 (ШВ)</t>
  </si>
  <si>
    <t>710*845*446</t>
  </si>
  <si>
    <t>515*855*410</t>
  </si>
  <si>
    <t>100*50*13</t>
  </si>
  <si>
    <t>300*17*18</t>
  </si>
  <si>
    <t>40*19*24</t>
  </si>
  <si>
    <t>d100*20мм</t>
  </si>
  <si>
    <t>155*15*20мм</t>
  </si>
  <si>
    <t>Прайс-лист от 01.07.2018 г. (цены указаны с НДС)</t>
  </si>
  <si>
    <t>Зеркало Палермо 65 L/R</t>
  </si>
  <si>
    <t>Зеркало Палермо 75 L/R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</si>
</sst>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#,##0.00&quot;р.&quot;"/>
    <numFmt numFmtId="165" formatCode="#,##0_р_."/>
    <numFmt numFmtId="166" formatCode="0.0"/>
    <numFmt numFmtId="168" formatCode="_-* #,##0\ _₽_-;\-* #,##0\ _₽_-;_-* &quot;-&quot;??\ _₽_-;_-@_-"/>
  </numFmts>
  <fonts count="45" x14ac:knownFonts="1">
    <font>
      <sz val="10"/>
      <name val="Arial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1"/>
      <name val="Arial"/>
      <family val="2"/>
      <charset val="204"/>
    </font>
    <font>
      <sz val="8"/>
      <name val="Arial"/>
      <family val="2"/>
      <charset val="204"/>
    </font>
    <font>
      <sz val="7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0"/>
      <name val="Arial"/>
      <family val="2"/>
      <charset val="204"/>
    </font>
    <font>
      <b/>
      <sz val="11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rgb="FF00B050"/>
      <name val="Arial"/>
      <family val="2"/>
      <charset val="204"/>
    </font>
    <font>
      <b/>
      <sz val="10"/>
      <color theme="0"/>
      <name val="Arial"/>
      <family val="2"/>
      <charset val="204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B050"/>
      <name val="Times New Roman"/>
      <family val="1"/>
      <charset val="204"/>
    </font>
    <font>
      <b/>
      <sz val="8"/>
      <name val="Arial"/>
      <family val="2"/>
      <charset val="204"/>
    </font>
    <font>
      <sz val="10"/>
      <color rgb="FF00B05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/>
      <top/>
      <bottom/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double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double">
        <color indexed="64"/>
      </bottom>
      <diagonal/>
    </border>
    <border>
      <left style="medium">
        <color auto="1"/>
      </left>
      <right/>
      <top style="double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auto="1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3" fillId="0" borderId="0"/>
    <xf numFmtId="43" fontId="44" fillId="0" borderId="0" applyFont="0" applyFill="0" applyBorder="0" applyAlignment="0" applyProtection="0"/>
  </cellStyleXfs>
  <cellXfs count="893">
    <xf numFmtId="0" fontId="0" fillId="0" borderId="0" xfId="0"/>
    <xf numFmtId="0" fontId="3" fillId="0" borderId="0" xfId="0" applyFont="1"/>
    <xf numFmtId="0" fontId="1" fillId="0" borderId="1" xfId="0" applyNumberFormat="1" applyFont="1" applyFill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Fill="1" applyBorder="1"/>
    <xf numFmtId="0" fontId="3" fillId="0" borderId="0" xfId="0" applyFont="1" applyFill="1" applyBorder="1" applyAlignment="1">
      <alignment horizontal="center"/>
    </xf>
    <xf numFmtId="0" fontId="1" fillId="0" borderId="1" xfId="0" quotePrefix="1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3" fillId="3" borderId="2" xfId="0" quotePrefix="1" applyNumberFormat="1" applyFont="1" applyFill="1" applyBorder="1" applyAlignment="1">
      <alignment horizontal="center" textRotation="90" wrapText="1"/>
    </xf>
    <xf numFmtId="0" fontId="3" fillId="3" borderId="1" xfId="0" quotePrefix="1" applyNumberFormat="1" applyFont="1" applyFill="1" applyBorder="1" applyAlignment="1">
      <alignment horizontal="center"/>
    </xf>
    <xf numFmtId="0" fontId="1" fillId="0" borderId="1" xfId="0" quotePrefix="1" applyNumberFormat="1" applyFont="1" applyBorder="1"/>
    <xf numFmtId="0" fontId="1" fillId="0" borderId="0" xfId="0" applyFont="1"/>
    <xf numFmtId="0" fontId="1" fillId="0" borderId="1" xfId="0" applyFont="1" applyFill="1" applyBorder="1" applyAlignment="1">
      <alignment horizontal="center"/>
    </xf>
    <xf numFmtId="0" fontId="1" fillId="0" borderId="2" xfId="0" quotePrefix="1" applyNumberFormat="1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/>
    <xf numFmtId="0" fontId="1" fillId="0" borderId="2" xfId="0" quotePrefix="1" applyNumberFormat="1" applyFont="1" applyBorder="1"/>
    <xf numFmtId="0" fontId="1" fillId="0" borderId="2" xfId="0" applyFont="1" applyFill="1" applyBorder="1" applyAlignment="1">
      <alignment textRotation="90" wrapText="1"/>
    </xf>
    <xf numFmtId="0" fontId="1" fillId="0" borderId="2" xfId="0" applyFont="1" applyBorder="1" applyAlignment="1">
      <alignment textRotation="90" wrapText="1"/>
    </xf>
    <xf numFmtId="0" fontId="1" fillId="4" borderId="2" xfId="0" applyFont="1" applyFill="1" applyBorder="1" applyAlignment="1">
      <alignment textRotation="90"/>
    </xf>
    <xf numFmtId="0" fontId="1" fillId="5" borderId="3" xfId="0" applyFont="1" applyFill="1" applyBorder="1" applyAlignment="1">
      <alignment textRotation="90"/>
    </xf>
    <xf numFmtId="0" fontId="1" fillId="6" borderId="0" xfId="0" applyFont="1" applyFill="1"/>
    <xf numFmtId="0" fontId="1" fillId="6" borderId="1" xfId="0" applyFont="1" applyFill="1" applyBorder="1"/>
    <xf numFmtId="0" fontId="1" fillId="6" borderId="4" xfId="0" applyFont="1" applyFill="1" applyBorder="1"/>
    <xf numFmtId="0" fontId="1" fillId="4" borderId="1" xfId="0" applyFont="1" applyFill="1" applyBorder="1"/>
    <xf numFmtId="0" fontId="1" fillId="5" borderId="4" xfId="0" applyFont="1" applyFill="1" applyBorder="1"/>
    <xf numFmtId="2" fontId="1" fillId="0" borderId="1" xfId="0" applyNumberFormat="1" applyFont="1" applyFill="1" applyBorder="1"/>
    <xf numFmtId="0" fontId="1" fillId="0" borderId="43" xfId="0" applyFont="1" applyFill="1" applyBorder="1" applyAlignment="1">
      <alignment horizontal="center" vertical="top" wrapText="1"/>
    </xf>
    <xf numFmtId="0" fontId="1" fillId="0" borderId="2" xfId="0" quotePrefix="1" applyNumberFormat="1" applyFont="1" applyBorder="1" applyAlignment="1">
      <alignment horizontal="center" vertical="center" wrapText="1"/>
    </xf>
    <xf numFmtId="0" fontId="0" fillId="0" borderId="1" xfId="0" applyFont="1" applyBorder="1"/>
    <xf numFmtId="0" fontId="0" fillId="0" borderId="1" xfId="0" quotePrefix="1" applyNumberFormat="1" applyFont="1" applyBorder="1" applyAlignment="1">
      <alignment horizontal="center" vertical="center"/>
    </xf>
    <xf numFmtId="0" fontId="0" fillId="0" borderId="1" xfId="0" applyFont="1" applyFill="1" applyBorder="1"/>
    <xf numFmtId="0" fontId="8" fillId="3" borderId="1" xfId="0" quotePrefix="1" applyNumberFormat="1" applyFont="1" applyFill="1" applyBorder="1" applyAlignment="1">
      <alignment horizontal="center"/>
    </xf>
    <xf numFmtId="0" fontId="0" fillId="4" borderId="1" xfId="0" applyFont="1" applyFill="1" applyBorder="1"/>
    <xf numFmtId="0" fontId="0" fillId="5" borderId="4" xfId="0" applyFont="1" applyFill="1" applyBorder="1"/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7" borderId="1" xfId="0" applyFont="1" applyFill="1" applyBorder="1"/>
    <xf numFmtId="0" fontId="9" fillId="0" borderId="1" xfId="0" quotePrefix="1" applyNumberFormat="1" applyFont="1" applyBorder="1"/>
    <xf numFmtId="0" fontId="1" fillId="0" borderId="1" xfId="0" applyFont="1" applyFill="1" applyBorder="1" applyAlignment="1">
      <alignment horizontal="center" vertical="top" wrapText="1"/>
    </xf>
    <xf numFmtId="0" fontId="1" fillId="0" borderId="43" xfId="0" quotePrefix="1" applyNumberFormat="1" applyFont="1" applyBorder="1" applyAlignment="1">
      <alignment horizontal="center" vertical="center"/>
    </xf>
    <xf numFmtId="0" fontId="1" fillId="2" borderId="43" xfId="0" applyFont="1" applyFill="1" applyBorder="1" applyAlignment="1">
      <alignment horizontal="center" vertical="center" wrapText="1"/>
    </xf>
    <xf numFmtId="0" fontId="0" fillId="0" borderId="43" xfId="0" quotePrefix="1" applyNumberFormat="1" applyFont="1" applyBorder="1" applyAlignment="1">
      <alignment horizontal="center" vertical="center"/>
    </xf>
    <xf numFmtId="0" fontId="1" fillId="0" borderId="1" xfId="0" quotePrefix="1" applyNumberFormat="1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3" fillId="0" borderId="1" xfId="0" quotePrefix="1" applyNumberFormat="1" applyFont="1" applyFill="1" applyBorder="1" applyAlignment="1">
      <alignment horizontal="center"/>
    </xf>
    <xf numFmtId="0" fontId="1" fillId="0" borderId="4" xfId="0" applyFont="1" applyFill="1" applyBorder="1"/>
    <xf numFmtId="0" fontId="1" fillId="0" borderId="1" xfId="0" quotePrefix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24" fillId="8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quotePrefix="1" applyNumberFormat="1" applyFont="1" applyBorder="1"/>
    <xf numFmtId="0" fontId="1" fillId="0" borderId="0" xfId="0" applyFont="1" applyAlignment="1">
      <alignment horizontal="center" wrapText="1"/>
    </xf>
    <xf numFmtId="164" fontId="1" fillId="0" borderId="0" xfId="0" applyNumberFormat="1" applyFont="1"/>
    <xf numFmtId="164" fontId="1" fillId="0" borderId="2" xfId="0" applyNumberFormat="1" applyFont="1" applyFill="1" applyBorder="1" applyAlignment="1">
      <alignment textRotation="90" wrapText="1"/>
    </xf>
    <xf numFmtId="164" fontId="1" fillId="0" borderId="2" xfId="0" applyNumberFormat="1" applyFont="1" applyFill="1" applyBorder="1" applyAlignment="1">
      <alignment textRotation="90"/>
    </xf>
    <xf numFmtId="164" fontId="3" fillId="0" borderId="0" xfId="0" applyNumberFormat="1" applyFont="1" applyFill="1"/>
    <xf numFmtId="164" fontId="1" fillId="0" borderId="0" xfId="0" applyNumberFormat="1" applyFont="1" applyFill="1"/>
    <xf numFmtId="0" fontId="1" fillId="5" borderId="1" xfId="0" applyFont="1" applyFill="1" applyBorder="1"/>
    <xf numFmtId="164" fontId="3" fillId="0" borderId="4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14" fontId="3" fillId="0" borderId="0" xfId="0" applyNumberFormat="1" applyFont="1"/>
    <xf numFmtId="164" fontId="3" fillId="0" borderId="3" xfId="0" applyNumberFormat="1" applyFont="1" applyFill="1" applyBorder="1" applyAlignment="1">
      <alignment horizontal="center"/>
    </xf>
    <xf numFmtId="164" fontId="3" fillId="0" borderId="5" xfId="0" applyNumberFormat="1" applyFont="1" applyFill="1" applyBorder="1" applyAlignment="1">
      <alignment horizontal="center"/>
    </xf>
    <xf numFmtId="164" fontId="3" fillId="7" borderId="1" xfId="0" applyNumberFormat="1" applyFont="1" applyFill="1" applyBorder="1"/>
    <xf numFmtId="9" fontId="25" fillId="0" borderId="0" xfId="0" applyNumberFormat="1" applyFont="1"/>
    <xf numFmtId="0" fontId="26" fillId="0" borderId="0" xfId="0" applyFont="1"/>
    <xf numFmtId="0" fontId="26" fillId="0" borderId="0" xfId="0" applyFont="1" applyFill="1" applyBorder="1" applyAlignment="1">
      <alignment horizontal="left" vertical="top"/>
    </xf>
    <xf numFmtId="0" fontId="26" fillId="0" borderId="0" xfId="0" applyFont="1" applyAlignment="1">
      <alignment horizontal="center" vertical="center"/>
    </xf>
    <xf numFmtId="164" fontId="0" fillId="0" borderId="1" xfId="0" applyNumberFormat="1" applyFont="1" applyFill="1" applyBorder="1" applyAlignment="1">
      <alignment textRotation="90" wrapText="1"/>
    </xf>
    <xf numFmtId="164" fontId="26" fillId="0" borderId="1" xfId="0" applyNumberFormat="1" applyFont="1" applyFill="1" applyBorder="1"/>
    <xf numFmtId="164" fontId="27" fillId="0" borderId="1" xfId="0" applyNumberFormat="1" applyFont="1" applyFill="1" applyBorder="1"/>
    <xf numFmtId="164" fontId="0" fillId="0" borderId="1" xfId="0" applyNumberFormat="1" applyFont="1" applyFill="1" applyBorder="1"/>
    <xf numFmtId="0" fontId="1" fillId="0" borderId="1" xfId="0" applyFont="1" applyFill="1" applyBorder="1" applyAlignment="1">
      <alignment textRotation="90" wrapText="1"/>
    </xf>
    <xf numFmtId="164" fontId="1" fillId="0" borderId="1" xfId="0" applyNumberFormat="1" applyFont="1" applyFill="1" applyBorder="1"/>
    <xf numFmtId="164" fontId="3" fillId="0" borderId="1" xfId="0" applyNumberFormat="1" applyFont="1" applyFill="1" applyBorder="1"/>
    <xf numFmtId="0" fontId="0" fillId="5" borderId="1" xfId="0" applyFont="1" applyFill="1" applyBorder="1"/>
    <xf numFmtId="164" fontId="8" fillId="0" borderId="4" xfId="0" applyNumberFormat="1" applyFont="1" applyFill="1" applyBorder="1" applyAlignment="1">
      <alignment horizontal="center"/>
    </xf>
    <xf numFmtId="164" fontId="8" fillId="7" borderId="1" xfId="0" applyNumberFormat="1" applyFont="1" applyFill="1" applyBorder="1"/>
    <xf numFmtId="164" fontId="0" fillId="0" borderId="0" xfId="0" applyNumberFormat="1" applyFont="1" applyFill="1"/>
    <xf numFmtId="164" fontId="26" fillId="0" borderId="1" xfId="0" applyNumberFormat="1" applyFont="1" applyFill="1" applyBorder="1"/>
    <xf numFmtId="0" fontId="28" fillId="0" borderId="1" xfId="0" applyFont="1" applyFill="1" applyBorder="1"/>
    <xf numFmtId="0" fontId="28" fillId="0" borderId="0" xfId="0" applyFont="1"/>
    <xf numFmtId="0" fontId="28" fillId="0" borderId="1" xfId="0" applyFont="1" applyFill="1" applyBorder="1" applyAlignment="1">
      <alignment textRotation="90" wrapText="1"/>
    </xf>
    <xf numFmtId="164" fontId="0" fillId="0" borderId="4" xfId="0" applyNumberFormat="1" applyFont="1" applyFill="1" applyBorder="1"/>
    <xf numFmtId="0" fontId="28" fillId="0" borderId="1" xfId="0" applyFont="1" applyFill="1" applyBorder="1"/>
    <xf numFmtId="165" fontId="1" fillId="0" borderId="0" xfId="0" applyNumberFormat="1" applyFont="1" applyAlignment="1">
      <alignment horizontal="center" wrapText="1"/>
    </xf>
    <xf numFmtId="165" fontId="3" fillId="5" borderId="3" xfId="0" applyNumberFormat="1" applyFont="1" applyFill="1" applyBorder="1" applyAlignment="1">
      <alignment textRotation="90" wrapText="1"/>
    </xf>
    <xf numFmtId="165" fontId="1" fillId="5" borderId="4" xfId="0" applyNumberFormat="1" applyFont="1" applyFill="1" applyBorder="1"/>
    <xf numFmtId="165" fontId="0" fillId="5" borderId="4" xfId="0" applyNumberFormat="1" applyFont="1" applyFill="1" applyBorder="1"/>
    <xf numFmtId="165" fontId="1" fillId="5" borderId="5" xfId="0" applyNumberFormat="1" applyFont="1" applyFill="1" applyBorder="1"/>
    <xf numFmtId="165" fontId="1" fillId="0" borderId="0" xfId="0" applyNumberFormat="1" applyFont="1" applyFill="1" applyBorder="1"/>
    <xf numFmtId="165" fontId="1" fillId="0" borderId="0" xfId="0" applyNumberFormat="1" applyFont="1" applyFill="1" applyBorder="1" applyAlignment="1">
      <alignment horizontal="left" vertical="top"/>
    </xf>
    <xf numFmtId="165" fontId="1" fillId="0" borderId="0" xfId="0" applyNumberFormat="1" applyFont="1" applyAlignment="1">
      <alignment horizontal="center" vertical="center"/>
    </xf>
    <xf numFmtId="164" fontId="1" fillId="9" borderId="0" xfId="0" applyNumberFormat="1" applyFont="1" applyFill="1"/>
    <xf numFmtId="164" fontId="1" fillId="9" borderId="2" xfId="0" applyNumberFormat="1" applyFont="1" applyFill="1" applyBorder="1" applyAlignment="1">
      <alignment textRotation="90"/>
    </xf>
    <xf numFmtId="164" fontId="0" fillId="9" borderId="0" xfId="0" applyNumberFormat="1" applyFont="1" applyFill="1"/>
    <xf numFmtId="164" fontId="3" fillId="9" borderId="0" xfId="0" applyNumberFormat="1" applyFont="1" applyFill="1"/>
    <xf numFmtId="0" fontId="1" fillId="9" borderId="0" xfId="0" applyFont="1" applyFill="1" applyBorder="1" applyAlignment="1">
      <alignment horizontal="left" vertical="top"/>
    </xf>
    <xf numFmtId="0" fontId="1" fillId="9" borderId="0" xfId="0" applyFont="1" applyFill="1"/>
    <xf numFmtId="164" fontId="1" fillId="5" borderId="1" xfId="0" applyNumberFormat="1" applyFont="1" applyFill="1" applyBorder="1"/>
    <xf numFmtId="164" fontId="0" fillId="5" borderId="1" xfId="0" applyNumberFormat="1" applyFont="1" applyFill="1" applyBorder="1"/>
    <xf numFmtId="164" fontId="3" fillId="5" borderId="1" xfId="0" applyNumberFormat="1" applyFont="1" applyFill="1" applyBorder="1"/>
    <xf numFmtId="164" fontId="0" fillId="7" borderId="1" xfId="0" applyNumberFormat="1" applyFont="1" applyFill="1" applyBorder="1"/>
    <xf numFmtId="165" fontId="1" fillId="0" borderId="0" xfId="0" applyNumberFormat="1" applyFont="1"/>
    <xf numFmtId="165" fontId="25" fillId="0" borderId="0" xfId="0" applyNumberFormat="1" applyFont="1"/>
    <xf numFmtId="165" fontId="27" fillId="0" borderId="1" xfId="0" applyNumberFormat="1" applyFont="1" applyFill="1" applyBorder="1"/>
    <xf numFmtId="165" fontId="27" fillId="0" borderId="0" xfId="0" applyNumberFormat="1" applyFont="1"/>
    <xf numFmtId="165" fontId="27" fillId="0" borderId="0" xfId="0" applyNumberFormat="1" applyFont="1" applyFill="1" applyBorder="1" applyAlignment="1">
      <alignment horizontal="left" vertical="top"/>
    </xf>
    <xf numFmtId="165" fontId="27" fillId="0" borderId="0" xfId="0" applyNumberFormat="1" applyFont="1" applyAlignment="1">
      <alignment horizontal="center" vertical="center"/>
    </xf>
    <xf numFmtId="0" fontId="1" fillId="0" borderId="0" xfId="0" applyFont="1" applyFill="1"/>
    <xf numFmtId="0" fontId="3" fillId="0" borderId="0" xfId="0" applyFont="1" applyFill="1"/>
    <xf numFmtId="0" fontId="0" fillId="6" borderId="1" xfId="0" applyFont="1" applyFill="1" applyBorder="1"/>
    <xf numFmtId="165" fontId="27" fillId="0" borderId="6" xfId="0" applyNumberFormat="1" applyFont="1" applyFill="1" applyBorder="1"/>
    <xf numFmtId="164" fontId="0" fillId="7" borderId="6" xfId="0" applyNumberFormat="1" applyFont="1" applyFill="1" applyBorder="1"/>
    <xf numFmtId="0" fontId="1" fillId="7" borderId="1" xfId="0" applyFont="1" applyFill="1" applyBorder="1" applyAlignment="1">
      <alignment wrapText="1"/>
    </xf>
    <xf numFmtId="0" fontId="10" fillId="0" borderId="2" xfId="0" applyFont="1" applyBorder="1" applyAlignment="1">
      <alignment horizontal="center"/>
    </xf>
    <xf numFmtId="0" fontId="1" fillId="0" borderId="2" xfId="0" applyFont="1" applyFill="1" applyBorder="1"/>
    <xf numFmtId="0" fontId="1" fillId="0" borderId="2" xfId="0" applyFont="1" applyBorder="1"/>
    <xf numFmtId="0" fontId="3" fillId="3" borderId="2" xfId="0" quotePrefix="1" applyNumberFormat="1" applyFont="1" applyFill="1" applyBorder="1" applyAlignment="1">
      <alignment horizontal="center"/>
    </xf>
    <xf numFmtId="0" fontId="1" fillId="4" borderId="2" xfId="0" applyFont="1" applyFill="1" applyBorder="1"/>
    <xf numFmtId="0" fontId="1" fillId="5" borderId="3" xfId="0" applyFont="1" applyFill="1" applyBorder="1"/>
    <xf numFmtId="165" fontId="1" fillId="5" borderId="3" xfId="0" applyNumberFormat="1" applyFont="1" applyFill="1" applyBorder="1"/>
    <xf numFmtId="164" fontId="3" fillId="7" borderId="2" xfId="0" applyNumberFormat="1" applyFont="1" applyFill="1" applyBorder="1"/>
    <xf numFmtId="165" fontId="27" fillId="0" borderId="2" xfId="0" applyNumberFormat="1" applyFont="1" applyFill="1" applyBorder="1"/>
    <xf numFmtId="164" fontId="1" fillId="0" borderId="7" xfId="0" applyNumberFormat="1" applyFont="1" applyFill="1" applyBorder="1"/>
    <xf numFmtId="164" fontId="1" fillId="9" borderId="7" xfId="0" applyNumberFormat="1" applyFont="1" applyFill="1" applyBorder="1"/>
    <xf numFmtId="164" fontId="1" fillId="0" borderId="0" xfId="0" applyNumberFormat="1" applyFont="1" applyFill="1" applyBorder="1"/>
    <xf numFmtId="164" fontId="1" fillId="9" borderId="0" xfId="0" applyNumberFormat="1" applyFont="1" applyFill="1" applyBorder="1"/>
    <xf numFmtId="0" fontId="1" fillId="0" borderId="8" xfId="0" quotePrefix="1" applyNumberFormat="1" applyFont="1" applyFill="1" applyBorder="1"/>
    <xf numFmtId="0" fontId="1" fillId="0" borderId="8" xfId="0" quotePrefix="1" applyNumberFormat="1" applyFont="1" applyFill="1" applyBorder="1" applyAlignment="1">
      <alignment horizontal="center" vertical="center"/>
    </xf>
    <xf numFmtId="0" fontId="1" fillId="0" borderId="8" xfId="0" applyFont="1" applyFill="1" applyBorder="1"/>
    <xf numFmtId="0" fontId="3" fillId="0" borderId="8" xfId="0" quotePrefix="1" applyNumberFormat="1" applyFont="1" applyFill="1" applyBorder="1" applyAlignment="1">
      <alignment horizontal="center"/>
    </xf>
    <xf numFmtId="0" fontId="1" fillId="0" borderId="9" xfId="0" applyFont="1" applyFill="1" applyBorder="1"/>
    <xf numFmtId="165" fontId="1" fillId="5" borderId="9" xfId="0" applyNumberFormat="1" applyFont="1" applyFill="1" applyBorder="1"/>
    <xf numFmtId="164" fontId="3" fillId="0" borderId="9" xfId="0" applyNumberFormat="1" applyFont="1" applyFill="1" applyBorder="1" applyAlignment="1">
      <alignment horizontal="center"/>
    </xf>
    <xf numFmtId="164" fontId="3" fillId="7" borderId="8" xfId="0" applyNumberFormat="1" applyFont="1" applyFill="1" applyBorder="1"/>
    <xf numFmtId="164" fontId="1" fillId="0" borderId="10" xfId="0" applyNumberFormat="1" applyFont="1" applyFill="1" applyBorder="1"/>
    <xf numFmtId="164" fontId="1" fillId="9" borderId="10" xfId="0" applyNumberFormat="1" applyFont="1" applyFill="1" applyBorder="1"/>
    <xf numFmtId="165" fontId="27" fillId="0" borderId="8" xfId="0" applyNumberFormat="1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/>
    </xf>
    <xf numFmtId="0" fontId="1" fillId="0" borderId="11" xfId="0" quotePrefix="1" applyNumberFormat="1" applyFont="1" applyBorder="1"/>
    <xf numFmtId="0" fontId="1" fillId="0" borderId="11" xfId="0" quotePrefix="1" applyNumberFormat="1" applyFont="1" applyBorder="1" applyAlignment="1">
      <alignment horizontal="center" vertical="center"/>
    </xf>
    <xf numFmtId="0" fontId="1" fillId="0" borderId="11" xfId="0" applyFont="1" applyFill="1" applyBorder="1"/>
    <xf numFmtId="0" fontId="1" fillId="0" borderId="11" xfId="0" applyFont="1" applyBorder="1"/>
    <xf numFmtId="0" fontId="3" fillId="3" borderId="11" xfId="0" quotePrefix="1" applyNumberFormat="1" applyFont="1" applyFill="1" applyBorder="1" applyAlignment="1">
      <alignment horizontal="center"/>
    </xf>
    <xf numFmtId="0" fontId="1" fillId="4" borderId="11" xfId="0" applyFont="1" applyFill="1" applyBorder="1"/>
    <xf numFmtId="0" fontId="1" fillId="5" borderId="12" xfId="0" applyFont="1" applyFill="1" applyBorder="1"/>
    <xf numFmtId="165" fontId="1" fillId="5" borderId="12" xfId="0" applyNumberFormat="1" applyFont="1" applyFill="1" applyBorder="1"/>
    <xf numFmtId="164" fontId="3" fillId="0" borderId="12" xfId="0" applyNumberFormat="1" applyFont="1" applyFill="1" applyBorder="1" applyAlignment="1">
      <alignment horizontal="center"/>
    </xf>
    <xf numFmtId="164" fontId="3" fillId="7" borderId="11" xfId="0" applyNumberFormat="1" applyFont="1" applyFill="1" applyBorder="1"/>
    <xf numFmtId="164" fontId="1" fillId="0" borderId="13" xfId="0" applyNumberFormat="1" applyFont="1" applyFill="1" applyBorder="1"/>
    <xf numFmtId="164" fontId="1" fillId="9" borderId="13" xfId="0" applyNumberFormat="1" applyFont="1" applyFill="1" applyBorder="1"/>
    <xf numFmtId="165" fontId="27" fillId="0" borderId="11" xfId="0" applyNumberFormat="1" applyFont="1" applyFill="1" applyBorder="1"/>
    <xf numFmtId="0" fontId="1" fillId="0" borderId="14" xfId="0" quotePrefix="1" applyNumberFormat="1" applyFont="1" applyBorder="1"/>
    <xf numFmtId="0" fontId="1" fillId="2" borderId="14" xfId="0" applyFont="1" applyFill="1" applyBorder="1" applyAlignment="1">
      <alignment horizontal="center" vertical="center" wrapText="1"/>
    </xf>
    <xf numFmtId="0" fontId="1" fillId="0" borderId="14" xfId="0" applyFont="1" applyFill="1" applyBorder="1"/>
    <xf numFmtId="0" fontId="1" fillId="0" borderId="14" xfId="0" applyFont="1" applyBorder="1"/>
    <xf numFmtId="0" fontId="3" fillId="3" borderId="14" xfId="0" quotePrefix="1" applyNumberFormat="1" applyFont="1" applyFill="1" applyBorder="1" applyAlignment="1">
      <alignment horizontal="center"/>
    </xf>
    <xf numFmtId="0" fontId="1" fillId="4" borderId="14" xfId="0" applyFont="1" applyFill="1" applyBorder="1"/>
    <xf numFmtId="0" fontId="1" fillId="5" borderId="15" xfId="0" applyFont="1" applyFill="1" applyBorder="1"/>
    <xf numFmtId="165" fontId="1" fillId="5" borderId="15" xfId="0" applyNumberFormat="1" applyFont="1" applyFill="1" applyBorder="1"/>
    <xf numFmtId="164" fontId="3" fillId="0" borderId="15" xfId="0" applyNumberFormat="1" applyFont="1" applyFill="1" applyBorder="1" applyAlignment="1">
      <alignment horizontal="center"/>
    </xf>
    <xf numFmtId="164" fontId="3" fillId="7" borderId="14" xfId="0" applyNumberFormat="1" applyFont="1" applyFill="1" applyBorder="1"/>
    <xf numFmtId="164" fontId="1" fillId="0" borderId="16" xfId="0" applyNumberFormat="1" applyFont="1" applyFill="1" applyBorder="1"/>
    <xf numFmtId="164" fontId="1" fillId="9" borderId="16" xfId="0" applyNumberFormat="1" applyFont="1" applyFill="1" applyBorder="1"/>
    <xf numFmtId="165" fontId="27" fillId="0" borderId="14" xfId="0" applyNumberFormat="1" applyFont="1" applyFill="1" applyBorder="1"/>
    <xf numFmtId="0" fontId="1" fillId="0" borderId="8" xfId="0" quotePrefix="1" applyNumberFormat="1" applyFont="1" applyBorder="1"/>
    <xf numFmtId="0" fontId="1" fillId="0" borderId="8" xfId="0" quotePrefix="1" applyNumberFormat="1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top" wrapText="1"/>
    </xf>
    <xf numFmtId="0" fontId="1" fillId="0" borderId="8" xfId="0" applyFont="1" applyBorder="1"/>
    <xf numFmtId="0" fontId="0" fillId="0" borderId="8" xfId="0" applyFont="1" applyBorder="1"/>
    <xf numFmtId="0" fontId="3" fillId="3" borderId="8" xfId="0" quotePrefix="1" applyNumberFormat="1" applyFont="1" applyFill="1" applyBorder="1" applyAlignment="1">
      <alignment horizontal="center"/>
    </xf>
    <xf numFmtId="0" fontId="1" fillId="4" borderId="8" xfId="0" applyFont="1" applyFill="1" applyBorder="1"/>
    <xf numFmtId="0" fontId="1" fillId="5" borderId="9" xfId="0" applyFont="1" applyFill="1" applyBorder="1"/>
    <xf numFmtId="0" fontId="1" fillId="0" borderId="14" xfId="0" quotePrefix="1" applyNumberFormat="1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0" fillId="0" borderId="14" xfId="0" quotePrefix="1" applyNumberFormat="1" applyFont="1" applyBorder="1" applyAlignment="1">
      <alignment horizontal="center" vertical="center"/>
    </xf>
    <xf numFmtId="0" fontId="0" fillId="0" borderId="14" xfId="0" applyFont="1" applyFill="1" applyBorder="1"/>
    <xf numFmtId="0" fontId="0" fillId="0" borderId="14" xfId="0" applyFont="1" applyBorder="1"/>
    <xf numFmtId="0" fontId="0" fillId="4" borderId="14" xfId="0" applyFont="1" applyFill="1" applyBorder="1"/>
    <xf numFmtId="0" fontId="0" fillId="5" borderId="15" xfId="0" applyFont="1" applyFill="1" applyBorder="1"/>
    <xf numFmtId="165" fontId="0" fillId="5" borderId="15" xfId="0" applyNumberFormat="1" applyFont="1" applyFill="1" applyBorder="1"/>
    <xf numFmtId="164" fontId="0" fillId="0" borderId="0" xfId="0" applyNumberFormat="1" applyFont="1" applyFill="1" applyBorder="1"/>
    <xf numFmtId="164" fontId="0" fillId="9" borderId="0" xfId="0" applyNumberFormat="1" applyFont="1" applyFill="1" applyBorder="1"/>
    <xf numFmtId="0" fontId="0" fillId="0" borderId="8" xfId="0" applyFont="1" applyFill="1" applyBorder="1" applyAlignment="1">
      <alignment horizontal="center" vertical="center"/>
    </xf>
    <xf numFmtId="0" fontId="0" fillId="0" borderId="8" xfId="0" applyFont="1" applyFill="1" applyBorder="1"/>
    <xf numFmtId="0" fontId="8" fillId="3" borderId="8" xfId="0" quotePrefix="1" applyNumberFormat="1" applyFont="1" applyFill="1" applyBorder="1" applyAlignment="1">
      <alignment horizontal="center"/>
    </xf>
    <xf numFmtId="0" fontId="0" fillId="4" borderId="8" xfId="0" applyFont="1" applyFill="1" applyBorder="1"/>
    <xf numFmtId="0" fontId="0" fillId="5" borderId="8" xfId="0" applyFont="1" applyFill="1" applyBorder="1"/>
    <xf numFmtId="165" fontId="0" fillId="5" borderId="9" xfId="0" applyNumberFormat="1" applyFont="1" applyFill="1" applyBorder="1"/>
    <xf numFmtId="164" fontId="8" fillId="0" borderId="9" xfId="0" applyNumberFormat="1" applyFont="1" applyFill="1" applyBorder="1" applyAlignment="1">
      <alignment horizontal="center"/>
    </xf>
    <xf numFmtId="164" fontId="8" fillId="7" borderId="8" xfId="0" applyNumberFormat="1" applyFont="1" applyFill="1" applyBorder="1"/>
    <xf numFmtId="164" fontId="0" fillId="0" borderId="10" xfId="0" applyNumberFormat="1" applyFont="1" applyFill="1" applyBorder="1"/>
    <xf numFmtId="164" fontId="0" fillId="9" borderId="10" xfId="0" applyNumberFormat="1" applyFont="1" applyFill="1" applyBorder="1"/>
    <xf numFmtId="0" fontId="1" fillId="0" borderId="14" xfId="0" quotePrefix="1" applyNumberFormat="1" applyFont="1" applyFill="1" applyBorder="1"/>
    <xf numFmtId="0" fontId="1" fillId="0" borderId="14" xfId="0" applyFont="1" applyFill="1" applyBorder="1" applyAlignment="1">
      <alignment horizontal="center" vertical="center" wrapText="1"/>
    </xf>
    <xf numFmtId="0" fontId="1" fillId="6" borderId="14" xfId="0" applyFont="1" applyFill="1" applyBorder="1"/>
    <xf numFmtId="0" fontId="1" fillId="6" borderId="15" xfId="0" applyFont="1" applyFill="1" applyBorder="1"/>
    <xf numFmtId="0" fontId="0" fillId="0" borderId="8" xfId="0" applyFont="1" applyBorder="1" applyAlignment="1">
      <alignment horizontal="center" vertical="center"/>
    </xf>
    <xf numFmtId="0" fontId="8" fillId="3" borderId="8" xfId="0" applyNumberFormat="1" applyFont="1" applyFill="1" applyBorder="1" applyAlignment="1">
      <alignment horizontal="center"/>
    </xf>
    <xf numFmtId="2" fontId="1" fillId="0" borderId="14" xfId="0" applyNumberFormat="1" applyFont="1" applyFill="1" applyBorder="1"/>
    <xf numFmtId="0" fontId="1" fillId="0" borderId="44" xfId="0" applyFont="1" applyFill="1" applyBorder="1" applyAlignment="1">
      <alignment horizontal="center" vertical="top" wrapText="1"/>
    </xf>
    <xf numFmtId="0" fontId="1" fillId="0" borderId="45" xfId="0" quotePrefix="1" applyNumberFormat="1" applyFont="1" applyBorder="1" applyAlignment="1">
      <alignment horizontal="center" vertical="center"/>
    </xf>
    <xf numFmtId="0" fontId="1" fillId="0" borderId="44" xfId="0" quotePrefix="1" applyNumberFormat="1" applyFont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top" wrapText="1"/>
    </xf>
    <xf numFmtId="0" fontId="9" fillId="0" borderId="14" xfId="0" quotePrefix="1" applyNumberFormat="1" applyFont="1" applyBorder="1"/>
    <xf numFmtId="0" fontId="0" fillId="0" borderId="44" xfId="0" quotePrefix="1" applyNumberFormat="1" applyFont="1" applyBorder="1" applyAlignment="1">
      <alignment horizontal="center" vertical="center"/>
    </xf>
    <xf numFmtId="0" fontId="9" fillId="0" borderId="8" xfId="0" quotePrefix="1" applyNumberFormat="1" applyFont="1" applyBorder="1"/>
    <xf numFmtId="0" fontId="0" fillId="0" borderId="8" xfId="0" quotePrefix="1" applyNumberFormat="1" applyFont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 wrapText="1"/>
    </xf>
    <xf numFmtId="0" fontId="10" fillId="0" borderId="2" xfId="0" quotePrefix="1" applyNumberFormat="1" applyFont="1" applyBorder="1"/>
    <xf numFmtId="165" fontId="1" fillId="0" borderId="1" xfId="0" applyNumberFormat="1" applyFont="1" applyFill="1" applyBorder="1"/>
    <xf numFmtId="165" fontId="1" fillId="0" borderId="8" xfId="0" applyNumberFormat="1" applyFont="1" applyFill="1" applyBorder="1"/>
    <xf numFmtId="165" fontId="1" fillId="0" borderId="11" xfId="0" applyNumberFormat="1" applyFont="1" applyFill="1" applyBorder="1"/>
    <xf numFmtId="165" fontId="1" fillId="0" borderId="14" xfId="0" applyNumberFormat="1" applyFont="1" applyFill="1" applyBorder="1"/>
    <xf numFmtId="165" fontId="1" fillId="0" borderId="2" xfId="0" applyNumberFormat="1" applyFont="1" applyFill="1" applyBorder="1"/>
    <xf numFmtId="165" fontId="0" fillId="0" borderId="1" xfId="0" applyNumberFormat="1" applyFont="1" applyFill="1" applyBorder="1"/>
    <xf numFmtId="165" fontId="0" fillId="0" borderId="4" xfId="0" applyNumberFormat="1" applyFont="1" applyFill="1" applyBorder="1"/>
    <xf numFmtId="0" fontId="3" fillId="5" borderId="3" xfId="0" applyNumberFormat="1" applyFont="1" applyFill="1" applyBorder="1" applyAlignment="1">
      <alignment textRotation="90" wrapText="1"/>
    </xf>
    <xf numFmtId="0" fontId="29" fillId="5" borderId="4" xfId="0" applyNumberFormat="1" applyFont="1" applyFill="1" applyBorder="1" applyAlignment="1">
      <alignment textRotation="90" wrapText="1"/>
    </xf>
    <xf numFmtId="0" fontId="3" fillId="0" borderId="2" xfId="0" applyNumberFormat="1" applyFont="1" applyFill="1" applyBorder="1" applyAlignment="1">
      <alignment textRotation="90" wrapText="1"/>
    </xf>
    <xf numFmtId="0" fontId="1" fillId="7" borderId="1" xfId="0" quotePrefix="1" applyNumberFormat="1" applyFont="1" applyFill="1" applyBorder="1"/>
    <xf numFmtId="0" fontId="0" fillId="7" borderId="1" xfId="0" quotePrefix="1" applyNumberFormat="1" applyFont="1" applyFill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/>
    </xf>
    <xf numFmtId="0" fontId="0" fillId="7" borderId="1" xfId="0" applyFont="1" applyFill="1" applyBorder="1"/>
    <xf numFmtId="0" fontId="8" fillId="7" borderId="1" xfId="0" quotePrefix="1" applyNumberFormat="1" applyFont="1" applyFill="1" applyBorder="1" applyAlignment="1">
      <alignment horizontal="center"/>
    </xf>
    <xf numFmtId="165" fontId="0" fillId="7" borderId="4" xfId="0" applyNumberFormat="1" applyFont="1" applyFill="1" applyBorder="1"/>
    <xf numFmtId="164" fontId="8" fillId="7" borderId="4" xfId="0" applyNumberFormat="1" applyFont="1" applyFill="1" applyBorder="1" applyAlignment="1">
      <alignment horizontal="center"/>
    </xf>
    <xf numFmtId="164" fontId="0" fillId="7" borderId="0" xfId="0" applyNumberFormat="1" applyFont="1" applyFill="1" applyBorder="1"/>
    <xf numFmtId="165" fontId="1" fillId="0" borderId="17" xfId="0" applyNumberFormat="1" applyFont="1" applyFill="1" applyBorder="1"/>
    <xf numFmtId="165" fontId="27" fillId="0" borderId="17" xfId="0" applyNumberFormat="1" applyFont="1" applyFill="1" applyBorder="1"/>
    <xf numFmtId="165" fontId="27" fillId="0" borderId="1" xfId="0" applyNumberFormat="1" applyFont="1" applyFill="1" applyBorder="1"/>
    <xf numFmtId="0" fontId="0" fillId="0" borderId="1" xfId="0" quotePrefix="1" applyNumberFormat="1" applyFont="1" applyFill="1" applyBorder="1" applyAlignment="1">
      <alignment horizontal="center" vertical="center"/>
    </xf>
    <xf numFmtId="165" fontId="27" fillId="7" borderId="1" xfId="0" applyNumberFormat="1" applyFont="1" applyFill="1" applyBorder="1"/>
    <xf numFmtId="164" fontId="0" fillId="7" borderId="4" xfId="0" applyNumberFormat="1" applyFont="1" applyFill="1" applyBorder="1"/>
    <xf numFmtId="0" fontId="28" fillId="7" borderId="1" xfId="0" applyFont="1" applyFill="1" applyBorder="1"/>
    <xf numFmtId="0" fontId="1" fillId="10" borderId="0" xfId="0" applyFont="1" applyFill="1"/>
    <xf numFmtId="165" fontId="0" fillId="10" borderId="1" xfId="0" applyNumberFormat="1" applyFont="1" applyFill="1" applyBorder="1"/>
    <xf numFmtId="0" fontId="0" fillId="10" borderId="1" xfId="0" applyFont="1" applyFill="1" applyBorder="1"/>
    <xf numFmtId="165" fontId="8" fillId="10" borderId="1" xfId="0" applyNumberFormat="1" applyFont="1" applyFill="1" applyBorder="1"/>
    <xf numFmtId="0" fontId="8" fillId="10" borderId="1" xfId="0" applyFont="1" applyFill="1" applyBorder="1"/>
    <xf numFmtId="0" fontId="11" fillId="10" borderId="2" xfId="0" applyFont="1" applyFill="1" applyBorder="1" applyAlignment="1">
      <alignment textRotation="90"/>
    </xf>
    <xf numFmtId="165" fontId="27" fillId="7" borderId="1" xfId="0" applyNumberFormat="1" applyFont="1" applyFill="1" applyBorder="1"/>
    <xf numFmtId="165" fontId="27" fillId="7" borderId="8" xfId="0" applyNumberFormat="1" applyFont="1" applyFill="1" applyBorder="1"/>
    <xf numFmtId="0" fontId="1" fillId="7" borderId="1" xfId="0" applyFont="1" applyFill="1" applyBorder="1" applyAlignment="1">
      <alignment horizontal="center" vertical="top" wrapText="1"/>
    </xf>
    <xf numFmtId="0" fontId="1" fillId="7" borderId="8" xfId="0" applyFont="1" applyFill="1" applyBorder="1" applyAlignment="1">
      <alignment horizontal="center" vertical="top" wrapText="1"/>
    </xf>
    <xf numFmtId="0" fontId="3" fillId="7" borderId="2" xfId="0" applyNumberFormat="1" applyFont="1" applyFill="1" applyBorder="1" applyAlignment="1">
      <alignment textRotation="90" wrapText="1"/>
    </xf>
    <xf numFmtId="0" fontId="1" fillId="0" borderId="0" xfId="0" applyFont="1" applyFill="1" applyAlignment="1"/>
    <xf numFmtId="0" fontId="3" fillId="0" borderId="0" xfId="0" applyFont="1" applyFill="1" applyAlignment="1"/>
    <xf numFmtId="0" fontId="2" fillId="0" borderId="8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2" fillId="0" borderId="2" xfId="0" quotePrefix="1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top" wrapText="1"/>
    </xf>
    <xf numFmtId="0" fontId="2" fillId="0" borderId="44" xfId="0" applyFont="1" applyFill="1" applyBorder="1" applyAlignment="1">
      <alignment horizontal="center" vertical="top" wrapText="1"/>
    </xf>
    <xf numFmtId="0" fontId="2" fillId="0" borderId="45" xfId="0" applyFont="1" applyFill="1" applyBorder="1" applyAlignment="1">
      <alignment horizontal="center" vertical="top" wrapText="1"/>
    </xf>
    <xf numFmtId="0" fontId="2" fillId="2" borderId="4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1" fillId="10" borderId="2" xfId="0" applyFont="1" applyFill="1" applyBorder="1" applyAlignment="1">
      <alignment horizontal="center" textRotation="90"/>
    </xf>
    <xf numFmtId="0" fontId="0" fillId="10" borderId="1" xfId="0" applyFont="1" applyFill="1" applyBorder="1" applyAlignment="1">
      <alignment horizontal="center"/>
    </xf>
    <xf numFmtId="0" fontId="8" fillId="10" borderId="1" xfId="0" applyFont="1" applyFill="1" applyBorder="1" applyAlignment="1">
      <alignment horizontal="center"/>
    </xf>
    <xf numFmtId="0" fontId="1" fillId="10" borderId="0" xfId="0" applyFont="1" applyFill="1" applyAlignment="1">
      <alignment horizontal="center"/>
    </xf>
    <xf numFmtId="0" fontId="2" fillId="0" borderId="8" xfId="0" quotePrefix="1" applyNumberFormat="1" applyFont="1" applyFill="1" applyBorder="1" applyAlignment="1">
      <alignment horizontal="center" vertical="center" wrapText="1"/>
    </xf>
    <xf numFmtId="0" fontId="2" fillId="0" borderId="11" xfId="0" quotePrefix="1" applyNumberFormat="1" applyFont="1" applyBorder="1" applyAlignment="1">
      <alignment horizontal="center" vertical="center" wrapText="1"/>
    </xf>
    <xf numFmtId="0" fontId="2" fillId="0" borderId="1" xfId="0" quotePrefix="1" applyNumberFormat="1" applyFont="1" applyBorder="1" applyAlignment="1">
      <alignment horizontal="center" vertical="center" wrapText="1"/>
    </xf>
    <xf numFmtId="0" fontId="2" fillId="0" borderId="14" xfId="0" quotePrefix="1" applyNumberFormat="1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" xfId="0" quotePrefix="1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5" xfId="0" quotePrefix="1" applyNumberFormat="1" applyFont="1" applyBorder="1" applyAlignment="1">
      <alignment horizontal="center" vertical="center" wrapText="1"/>
    </xf>
    <xf numFmtId="0" fontId="2" fillId="0" borderId="44" xfId="0" quotePrefix="1" applyNumberFormat="1" applyFont="1" applyBorder="1" applyAlignment="1">
      <alignment horizontal="center" vertical="center" wrapText="1"/>
    </xf>
    <xf numFmtId="0" fontId="2" fillId="0" borderId="43" xfId="0" quotePrefix="1" applyNumberFormat="1" applyFont="1" applyBorder="1" applyAlignment="1">
      <alignment horizontal="center" vertical="center" wrapText="1"/>
    </xf>
    <xf numFmtId="0" fontId="2" fillId="0" borderId="8" xfId="0" quotePrefix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9" fontId="3" fillId="0" borderId="0" xfId="0" applyNumberFormat="1" applyFont="1"/>
    <xf numFmtId="0" fontId="1" fillId="0" borderId="0" xfId="0" applyFont="1" applyFill="1" applyAlignment="1">
      <alignment horizontal="right"/>
    </xf>
    <xf numFmtId="0" fontId="11" fillId="10" borderId="2" xfId="0" applyFont="1" applyFill="1" applyBorder="1" applyAlignment="1">
      <alignment horizontal="right" textRotation="90"/>
    </xf>
    <xf numFmtId="165" fontId="0" fillId="10" borderId="1" xfId="0" applyNumberFormat="1" applyFont="1" applyFill="1" applyBorder="1" applyAlignment="1">
      <alignment horizontal="right"/>
    </xf>
    <xf numFmtId="165" fontId="8" fillId="10" borderId="1" xfId="0" applyNumberFormat="1" applyFont="1" applyFill="1" applyBorder="1" applyAlignment="1">
      <alignment horizontal="right"/>
    </xf>
    <xf numFmtId="0" fontId="1" fillId="10" borderId="0" xfId="0" applyFont="1" applyFill="1" applyAlignment="1">
      <alignment horizontal="right"/>
    </xf>
    <xf numFmtId="165" fontId="30" fillId="10" borderId="1" xfId="0" applyNumberFormat="1" applyFont="1" applyFill="1" applyBorder="1"/>
    <xf numFmtId="1" fontId="1" fillId="0" borderId="0" xfId="0" applyNumberFormat="1" applyFont="1" applyFill="1" applyAlignment="1">
      <alignment horizontal="center"/>
    </xf>
    <xf numFmtId="1" fontId="0" fillId="10" borderId="1" xfId="0" applyNumberFormat="1" applyFont="1" applyFill="1" applyBorder="1" applyAlignment="1">
      <alignment horizontal="center"/>
    </xf>
    <xf numFmtId="1" fontId="8" fillId="10" borderId="1" xfId="0" applyNumberFormat="1" applyFont="1" applyFill="1" applyBorder="1" applyAlignment="1">
      <alignment horizontal="center"/>
    </xf>
    <xf numFmtId="1" fontId="1" fillId="10" borderId="0" xfId="0" applyNumberFormat="1" applyFont="1" applyFill="1" applyAlignment="1">
      <alignment horizontal="center"/>
    </xf>
    <xf numFmtId="0" fontId="3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2" xfId="0" quotePrefix="1" applyNumberFormat="1" applyFont="1" applyFill="1" applyBorder="1"/>
    <xf numFmtId="0" fontId="0" fillId="0" borderId="8" xfId="0" quotePrefix="1" applyNumberFormat="1" applyFont="1" applyFill="1" applyBorder="1" applyAlignment="1">
      <alignment horizontal="center" vertical="center"/>
    </xf>
    <xf numFmtId="165" fontId="0" fillId="10" borderId="8" xfId="0" applyNumberFormat="1" applyFont="1" applyFill="1" applyBorder="1" applyAlignment="1">
      <alignment horizontal="right"/>
    </xf>
    <xf numFmtId="1" fontId="0" fillId="10" borderId="8" xfId="0" applyNumberFormat="1" applyFont="1" applyFill="1" applyBorder="1" applyAlignment="1">
      <alignment horizontal="center"/>
    </xf>
    <xf numFmtId="0" fontId="2" fillId="0" borderId="46" xfId="0" quotePrefix="1" applyNumberFormat="1" applyFont="1" applyBorder="1" applyAlignment="1">
      <alignment horizontal="center" vertical="center" wrapText="1"/>
    </xf>
    <xf numFmtId="165" fontId="0" fillId="10" borderId="2" xfId="0" applyNumberFormat="1" applyFont="1" applyFill="1" applyBorder="1" applyAlignment="1">
      <alignment horizontal="right"/>
    </xf>
    <xf numFmtId="1" fontId="0" fillId="10" borderId="2" xfId="0" applyNumberFormat="1" applyFont="1" applyFill="1" applyBorder="1" applyAlignment="1">
      <alignment horizontal="center"/>
    </xf>
    <xf numFmtId="165" fontId="1" fillId="0" borderId="4" xfId="0" applyNumberFormat="1" applyFont="1" applyFill="1" applyBorder="1"/>
    <xf numFmtId="165" fontId="27" fillId="0" borderId="6" xfId="0" applyNumberFormat="1" applyFont="1" applyFill="1" applyBorder="1"/>
    <xf numFmtId="0" fontId="31" fillId="7" borderId="1" xfId="0" applyFont="1" applyFill="1" applyBorder="1"/>
    <xf numFmtId="0" fontId="1" fillId="0" borderId="2" xfId="0" quotePrefix="1" applyNumberFormat="1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top" wrapText="1"/>
    </xf>
    <xf numFmtId="0" fontId="14" fillId="0" borderId="4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165" fontId="27" fillId="0" borderId="18" xfId="0" applyNumberFormat="1" applyFont="1" applyFill="1" applyBorder="1"/>
    <xf numFmtId="165" fontId="30" fillId="10" borderId="2" xfId="0" applyNumberFormat="1" applyFont="1" applyFill="1" applyBorder="1"/>
    <xf numFmtId="0" fontId="1" fillId="0" borderId="10" xfId="0" applyFont="1" applyBorder="1"/>
    <xf numFmtId="165" fontId="30" fillId="10" borderId="8" xfId="0" applyNumberFormat="1" applyFont="1" applyFill="1" applyBorder="1"/>
    <xf numFmtId="1" fontId="0" fillId="10" borderId="18" xfId="0" applyNumberFormat="1" applyFont="1" applyFill="1" applyBorder="1" applyAlignment="1">
      <alignment horizontal="center"/>
    </xf>
    <xf numFmtId="165" fontId="30" fillId="10" borderId="17" xfId="0" applyNumberFormat="1" applyFont="1" applyFill="1" applyBorder="1"/>
    <xf numFmtId="0" fontId="0" fillId="0" borderId="1" xfId="0" quotePrefix="1" applyNumberFormat="1" applyFont="1" applyFill="1" applyBorder="1"/>
    <xf numFmtId="0" fontId="13" fillId="0" borderId="1" xfId="0" quotePrefix="1" applyNumberFormat="1" applyFont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/>
    </xf>
    <xf numFmtId="0" fontId="1" fillId="0" borderId="19" xfId="0" quotePrefix="1" applyNumberFormat="1" applyFont="1" applyBorder="1"/>
    <xf numFmtId="0" fontId="1" fillId="0" borderId="19" xfId="0" quotePrefix="1" applyNumberFormat="1" applyFont="1" applyBorder="1" applyAlignment="1">
      <alignment horizontal="center" vertical="center"/>
    </xf>
    <xf numFmtId="0" fontId="2" fillId="0" borderId="19" xfId="0" quotePrefix="1" applyNumberFormat="1" applyFont="1" applyBorder="1" applyAlignment="1">
      <alignment horizontal="center" vertical="center" wrapText="1"/>
    </xf>
    <xf numFmtId="0" fontId="3" fillId="5" borderId="20" xfId="0" applyNumberFormat="1" applyFont="1" applyFill="1" applyBorder="1" applyAlignment="1">
      <alignment textRotation="90" wrapText="1"/>
    </xf>
    <xf numFmtId="0" fontId="29" fillId="5" borderId="5" xfId="0" applyNumberFormat="1" applyFont="1" applyFill="1" applyBorder="1" applyAlignment="1">
      <alignment textRotation="90" wrapText="1"/>
    </xf>
    <xf numFmtId="0" fontId="3" fillId="0" borderId="19" xfId="0" applyNumberFormat="1" applyFont="1" applyFill="1" applyBorder="1" applyAlignment="1">
      <alignment textRotation="90" wrapText="1"/>
    </xf>
    <xf numFmtId="0" fontId="11" fillId="10" borderId="19" xfId="0" applyFont="1" applyFill="1" applyBorder="1" applyAlignment="1">
      <alignment horizontal="right" textRotation="90"/>
    </xf>
    <xf numFmtId="1" fontId="11" fillId="10" borderId="19" xfId="0" applyNumberFormat="1" applyFont="1" applyFill="1" applyBorder="1" applyAlignment="1">
      <alignment horizontal="center" textRotation="90"/>
    </xf>
    <xf numFmtId="0" fontId="3" fillId="7" borderId="19" xfId="0" applyNumberFormat="1" applyFont="1" applyFill="1" applyBorder="1" applyAlignment="1">
      <alignment textRotation="90" wrapText="1"/>
    </xf>
    <xf numFmtId="0" fontId="0" fillId="0" borderId="2" xfId="0" quotePrefix="1" applyNumberFormat="1" applyFont="1" applyBorder="1" applyAlignment="1">
      <alignment horizontal="center" vertical="center"/>
    </xf>
    <xf numFmtId="0" fontId="13" fillId="0" borderId="2" xfId="0" quotePrefix="1" applyNumberFormat="1" applyFont="1" applyBorder="1" applyAlignment="1">
      <alignment horizontal="center" vertical="center" wrapText="1"/>
    </xf>
    <xf numFmtId="0" fontId="24" fillId="8" borderId="0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10" borderId="0" xfId="0" applyFill="1"/>
    <xf numFmtId="0" fontId="0" fillId="10" borderId="1" xfId="0" applyFill="1" applyBorder="1"/>
    <xf numFmtId="0" fontId="0" fillId="7" borderId="0" xfId="0" applyFill="1"/>
    <xf numFmtId="0" fontId="0" fillId="7" borderId="1" xfId="0" applyFill="1" applyBorder="1" applyAlignment="1">
      <alignment wrapText="1"/>
    </xf>
    <xf numFmtId="0" fontId="0" fillId="7" borderId="1" xfId="0" applyFill="1" applyBorder="1"/>
    <xf numFmtId="0" fontId="3" fillId="0" borderId="1" xfId="0" applyFont="1" applyBorder="1" applyAlignment="1">
      <alignment wrapText="1"/>
    </xf>
    <xf numFmtId="0" fontId="3" fillId="10" borderId="1" xfId="0" applyFont="1" applyFill="1" applyBorder="1" applyAlignment="1">
      <alignment wrapText="1"/>
    </xf>
    <xf numFmtId="0" fontId="3" fillId="0" borderId="0" xfId="0" applyFont="1" applyAlignment="1">
      <alignment horizontal="center"/>
    </xf>
    <xf numFmtId="0" fontId="16" fillId="11" borderId="0" xfId="0" applyFont="1" applyFill="1" applyAlignment="1">
      <alignment horizontal="center"/>
    </xf>
    <xf numFmtId="1" fontId="0" fillId="0" borderId="0" xfId="0" applyNumberFormat="1"/>
    <xf numFmtId="1" fontId="0" fillId="10" borderId="0" xfId="0" applyNumberFormat="1" applyFill="1"/>
    <xf numFmtId="1" fontId="3" fillId="0" borderId="0" xfId="0" applyNumberFormat="1" applyFont="1"/>
    <xf numFmtId="1" fontId="3" fillId="0" borderId="1" xfId="0" applyNumberFormat="1" applyFont="1" applyBorder="1" applyAlignment="1">
      <alignment wrapText="1"/>
    </xf>
    <xf numFmtId="1" fontId="3" fillId="10" borderId="1" xfId="0" applyNumberFormat="1" applyFont="1" applyFill="1" applyBorder="1" applyAlignment="1">
      <alignment wrapText="1"/>
    </xf>
    <xf numFmtId="1" fontId="3" fillId="0" borderId="1" xfId="0" applyNumberFormat="1" applyFont="1" applyBorder="1"/>
    <xf numFmtId="1" fontId="0" fillId="0" borderId="1" xfId="0" applyNumberFormat="1" applyBorder="1"/>
    <xf numFmtId="1" fontId="0" fillId="10" borderId="1" xfId="0" applyNumberFormat="1" applyFill="1" applyBorder="1"/>
    <xf numFmtId="1" fontId="0" fillId="7" borderId="0" xfId="0" applyNumberFormat="1" applyFill="1"/>
    <xf numFmtId="1" fontId="3" fillId="7" borderId="1" xfId="0" applyNumberFormat="1" applyFont="1" applyFill="1" applyBorder="1" applyAlignment="1">
      <alignment wrapText="1"/>
    </xf>
    <xf numFmtId="1" fontId="0" fillId="7" borderId="1" xfId="0" applyNumberFormat="1" applyFill="1" applyBorder="1"/>
    <xf numFmtId="1" fontId="3" fillId="7" borderId="1" xfId="0" applyNumberFormat="1" applyFont="1" applyFill="1" applyBorder="1"/>
    <xf numFmtId="0" fontId="0" fillId="0" borderId="2" xfId="0" applyBorder="1"/>
    <xf numFmtId="0" fontId="0" fillId="0" borderId="2" xfId="0" applyBorder="1" applyAlignment="1">
      <alignment wrapText="1"/>
    </xf>
    <xf numFmtId="1" fontId="3" fillId="0" borderId="2" xfId="0" applyNumberFormat="1" applyFont="1" applyBorder="1"/>
    <xf numFmtId="1" fontId="0" fillId="0" borderId="2" xfId="0" applyNumberFormat="1" applyBorder="1"/>
    <xf numFmtId="1" fontId="0" fillId="10" borderId="2" xfId="0" applyNumberFormat="1" applyFill="1" applyBorder="1"/>
    <xf numFmtId="0" fontId="0" fillId="10" borderId="2" xfId="0" applyFill="1" applyBorder="1"/>
    <xf numFmtId="1" fontId="0" fillId="7" borderId="2" xfId="0" applyNumberFormat="1" applyFill="1" applyBorder="1"/>
    <xf numFmtId="0" fontId="0" fillId="0" borderId="8" xfId="0" applyBorder="1"/>
    <xf numFmtId="0" fontId="0" fillId="0" borderId="8" xfId="0" applyBorder="1" applyAlignment="1">
      <alignment wrapText="1"/>
    </xf>
    <xf numFmtId="1" fontId="3" fillId="0" borderId="8" xfId="0" applyNumberFormat="1" applyFont="1" applyBorder="1"/>
    <xf numFmtId="1" fontId="0" fillId="0" borderId="8" xfId="0" applyNumberFormat="1" applyBorder="1"/>
    <xf numFmtId="1" fontId="0" fillId="10" borderId="8" xfId="0" applyNumberFormat="1" applyFill="1" applyBorder="1"/>
    <xf numFmtId="0" fontId="0" fillId="10" borderId="8" xfId="0" applyFill="1" applyBorder="1"/>
    <xf numFmtId="1" fontId="0" fillId="7" borderId="8" xfId="0" applyNumberFormat="1" applyFill="1" applyBorder="1"/>
    <xf numFmtId="0" fontId="0" fillId="0" borderId="1" xfId="0" applyFill="1" applyBorder="1"/>
    <xf numFmtId="0" fontId="0" fillId="0" borderId="14" xfId="0" applyBorder="1"/>
    <xf numFmtId="0" fontId="0" fillId="0" borderId="14" xfId="0" applyBorder="1" applyAlignment="1">
      <alignment wrapText="1"/>
    </xf>
    <xf numFmtId="1" fontId="3" fillId="0" borderId="14" xfId="0" applyNumberFormat="1" applyFont="1" applyBorder="1"/>
    <xf numFmtId="1" fontId="0" fillId="0" borderId="14" xfId="0" applyNumberFormat="1" applyBorder="1"/>
    <xf numFmtId="1" fontId="0" fillId="10" borderId="14" xfId="0" applyNumberFormat="1" applyFill="1" applyBorder="1"/>
    <xf numFmtId="0" fontId="0" fillId="10" borderId="14" xfId="0" applyFill="1" applyBorder="1"/>
    <xf numFmtId="1" fontId="0" fillId="7" borderId="14" xfId="0" applyNumberFormat="1" applyFill="1" applyBorder="1"/>
    <xf numFmtId="0" fontId="1" fillId="0" borderId="8" xfId="0" applyFont="1" applyBorder="1" applyAlignment="1">
      <alignment wrapText="1"/>
    </xf>
    <xf numFmtId="0" fontId="0" fillId="7" borderId="8" xfId="0" applyFill="1" applyBorder="1"/>
    <xf numFmtId="0" fontId="0" fillId="7" borderId="8" xfId="0" applyFill="1" applyBorder="1" applyAlignment="1">
      <alignment wrapText="1"/>
    </xf>
    <xf numFmtId="1" fontId="3" fillId="7" borderId="8" xfId="0" applyNumberFormat="1" applyFont="1" applyFill="1" applyBorder="1"/>
    <xf numFmtId="0" fontId="10" fillId="0" borderId="19" xfId="0" applyFont="1" applyBorder="1" applyAlignment="1"/>
    <xf numFmtId="0" fontId="0" fillId="7" borderId="2" xfId="0" applyFill="1" applyBorder="1"/>
    <xf numFmtId="0" fontId="0" fillId="7" borderId="2" xfId="0" applyFill="1" applyBorder="1" applyAlignment="1">
      <alignment wrapText="1"/>
    </xf>
    <xf numFmtId="1" fontId="3" fillId="7" borderId="2" xfId="0" applyNumberFormat="1" applyFont="1" applyFill="1" applyBorder="1"/>
    <xf numFmtId="0" fontId="0" fillId="7" borderId="14" xfId="0" applyFill="1" applyBorder="1"/>
    <xf numFmtId="1" fontId="3" fillId="7" borderId="14" xfId="0" applyNumberFormat="1" applyFont="1" applyFill="1" applyBorder="1"/>
    <xf numFmtId="0" fontId="10" fillId="0" borderId="0" xfId="0" applyFont="1" applyAlignment="1"/>
    <xf numFmtId="0" fontId="10" fillId="0" borderId="1" xfId="0" applyFont="1" applyBorder="1" applyAlignment="1">
      <alignment wrapText="1"/>
    </xf>
    <xf numFmtId="0" fontId="10" fillId="0" borderId="1" xfId="0" applyFont="1" applyBorder="1" applyAlignment="1"/>
    <xf numFmtId="0" fontId="0" fillId="0" borderId="17" xfId="0" applyBorder="1"/>
    <xf numFmtId="0" fontId="0" fillId="0" borderId="17" xfId="0" applyBorder="1" applyAlignment="1">
      <alignment wrapText="1"/>
    </xf>
    <xf numFmtId="1" fontId="3" fillId="0" borderId="17" xfId="0" applyNumberFormat="1" applyFont="1" applyBorder="1"/>
    <xf numFmtId="1" fontId="0" fillId="0" borderId="17" xfId="0" applyNumberFormat="1" applyBorder="1"/>
    <xf numFmtId="1" fontId="0" fillId="10" borderId="17" xfId="0" applyNumberFormat="1" applyFill="1" applyBorder="1"/>
    <xf numFmtId="0" fontId="0" fillId="10" borderId="17" xfId="0" applyFill="1" applyBorder="1"/>
    <xf numFmtId="1" fontId="0" fillId="7" borderId="17" xfId="0" applyNumberFormat="1" applyFill="1" applyBorder="1"/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0" fillId="0" borderId="2" xfId="0" applyFill="1" applyBorder="1" applyAlignment="1">
      <alignment wrapText="1"/>
    </xf>
    <xf numFmtId="0" fontId="0" fillId="0" borderId="14" xfId="0" applyFill="1" applyBorder="1" applyAlignment="1">
      <alignment wrapText="1"/>
    </xf>
    <xf numFmtId="0" fontId="10" fillId="0" borderId="21" xfId="0" applyFont="1" applyBorder="1" applyAlignment="1">
      <alignment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/>
    <xf numFmtId="0" fontId="18" fillId="0" borderId="1" xfId="0" applyFont="1" applyFill="1" applyBorder="1" applyAlignment="1">
      <alignment vertical="center"/>
    </xf>
    <xf numFmtId="0" fontId="18" fillId="0" borderId="2" xfId="0" applyFont="1" applyBorder="1" applyAlignment="1">
      <alignment vertical="center"/>
    </xf>
    <xf numFmtId="0" fontId="18" fillId="0" borderId="0" xfId="0" applyFont="1" applyBorder="1"/>
    <xf numFmtId="0" fontId="21" fillId="0" borderId="25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 wrapText="1"/>
    </xf>
    <xf numFmtId="0" fontId="18" fillId="0" borderId="28" xfId="0" applyFont="1" applyBorder="1" applyAlignment="1">
      <alignment vertical="center"/>
    </xf>
    <xf numFmtId="0" fontId="22" fillId="11" borderId="28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11" borderId="0" xfId="0" applyFont="1" applyFill="1" applyAlignment="1">
      <alignment horizontal="center" vertical="center"/>
    </xf>
    <xf numFmtId="1" fontId="19" fillId="12" borderId="31" xfId="0" applyNumberFormat="1" applyFont="1" applyFill="1" applyBorder="1" applyAlignment="1">
      <alignment horizontal="center" vertical="center" textRotation="90" wrapText="1"/>
    </xf>
    <xf numFmtId="0" fontId="32" fillId="0" borderId="1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32" fillId="0" borderId="1" xfId="0" applyFont="1" applyBorder="1"/>
    <xf numFmtId="0" fontId="32" fillId="0" borderId="0" xfId="0" applyFont="1"/>
    <xf numFmtId="0" fontId="32" fillId="0" borderId="0" xfId="0" applyFont="1" applyBorder="1"/>
    <xf numFmtId="0" fontId="32" fillId="0" borderId="8" xfId="0" applyFont="1" applyBorder="1"/>
    <xf numFmtId="0" fontId="32" fillId="0" borderId="17" xfId="0" applyFont="1" applyBorder="1"/>
    <xf numFmtId="0" fontId="32" fillId="0" borderId="2" xfId="0" applyFont="1" applyBorder="1"/>
    <xf numFmtId="0" fontId="32" fillId="0" borderId="22" xfId="0" applyFont="1" applyBorder="1"/>
    <xf numFmtId="0" fontId="32" fillId="0" borderId="19" xfId="0" applyFont="1" applyFill="1" applyBorder="1"/>
    <xf numFmtId="0" fontId="32" fillId="0" borderId="19" xfId="0" applyFont="1" applyBorder="1"/>
    <xf numFmtId="1" fontId="32" fillId="12" borderId="29" xfId="0" applyNumberFormat="1" applyFont="1" applyFill="1" applyBorder="1"/>
    <xf numFmtId="0" fontId="32" fillId="0" borderId="1" xfId="0" applyFont="1" applyFill="1" applyBorder="1"/>
    <xf numFmtId="0" fontId="32" fillId="0" borderId="8" xfId="0" applyFont="1" applyFill="1" applyBorder="1"/>
    <xf numFmtId="1" fontId="32" fillId="12" borderId="27" xfId="0" applyNumberFormat="1" applyFont="1" applyFill="1" applyBorder="1"/>
    <xf numFmtId="0" fontId="32" fillId="0" borderId="8" xfId="0" applyFont="1" applyBorder="1" applyAlignment="1">
      <alignment vertical="center"/>
    </xf>
    <xf numFmtId="0" fontId="18" fillId="0" borderId="0" xfId="0" applyFont="1" applyBorder="1" applyAlignment="1">
      <alignment horizontal="center"/>
    </xf>
    <xf numFmtId="2" fontId="32" fillId="0" borderId="4" xfId="0" applyNumberFormat="1" applyFont="1" applyBorder="1" applyAlignment="1">
      <alignment horizontal="center"/>
    </xf>
    <xf numFmtId="2" fontId="32" fillId="0" borderId="5" xfId="0" applyNumberFormat="1" applyFont="1" applyBorder="1" applyAlignment="1">
      <alignment horizontal="center"/>
    </xf>
    <xf numFmtId="2" fontId="32" fillId="0" borderId="9" xfId="0" applyNumberFormat="1" applyFont="1" applyBorder="1" applyAlignment="1">
      <alignment horizontal="center"/>
    </xf>
    <xf numFmtId="2" fontId="32" fillId="0" borderId="3" xfId="0" applyNumberFormat="1" applyFont="1" applyBorder="1" applyAlignment="1">
      <alignment horizontal="center"/>
    </xf>
    <xf numFmtId="2" fontId="32" fillId="0" borderId="4" xfId="0" applyNumberFormat="1" applyFont="1" applyBorder="1" applyAlignment="1">
      <alignment horizontal="center" vertical="center"/>
    </xf>
    <xf numFmtId="2" fontId="32" fillId="0" borderId="5" xfId="0" applyNumberFormat="1" applyFont="1" applyBorder="1" applyAlignment="1">
      <alignment horizontal="center" vertical="center"/>
    </xf>
    <xf numFmtId="2" fontId="32" fillId="0" borderId="9" xfId="0" applyNumberFormat="1" applyFont="1" applyBorder="1" applyAlignment="1">
      <alignment horizontal="center" vertical="center"/>
    </xf>
    <xf numFmtId="0" fontId="32" fillId="0" borderId="18" xfId="0" applyFont="1" applyBorder="1"/>
    <xf numFmtId="2" fontId="32" fillId="0" borderId="30" xfId="0" applyNumberFormat="1" applyFont="1" applyBorder="1" applyAlignment="1">
      <alignment horizontal="center"/>
    </xf>
    <xf numFmtId="0" fontId="32" fillId="0" borderId="10" xfId="0" applyFont="1" applyBorder="1"/>
    <xf numFmtId="2" fontId="32" fillId="0" borderId="20" xfId="0" applyNumberFormat="1" applyFont="1" applyFill="1" applyBorder="1" applyAlignment="1">
      <alignment horizontal="center"/>
    </xf>
    <xf numFmtId="1" fontId="32" fillId="12" borderId="32" xfId="0" applyNumberFormat="1" applyFont="1" applyFill="1" applyBorder="1"/>
    <xf numFmtId="0" fontId="32" fillId="0" borderId="0" xfId="0" applyFont="1" applyFill="1"/>
    <xf numFmtId="2" fontId="32" fillId="0" borderId="4" xfId="0" applyNumberFormat="1" applyFont="1" applyFill="1" applyBorder="1" applyAlignment="1">
      <alignment horizontal="center"/>
    </xf>
    <xf numFmtId="2" fontId="32" fillId="0" borderId="9" xfId="0" applyNumberFormat="1" applyFont="1" applyFill="1" applyBorder="1" applyAlignment="1">
      <alignment horizontal="center"/>
    </xf>
    <xf numFmtId="0" fontId="32" fillId="0" borderId="10" xfId="0" applyFont="1" applyFill="1" applyBorder="1"/>
    <xf numFmtId="0" fontId="32" fillId="0" borderId="1" xfId="0" applyFont="1" applyBorder="1" applyAlignment="1"/>
    <xf numFmtId="1" fontId="32" fillId="12" borderId="36" xfId="0" applyNumberFormat="1" applyFont="1" applyFill="1" applyBorder="1"/>
    <xf numFmtId="2" fontId="32" fillId="0" borderId="20" xfId="0" applyNumberFormat="1" applyFont="1" applyBorder="1" applyAlignment="1">
      <alignment horizontal="center"/>
    </xf>
    <xf numFmtId="0" fontId="32" fillId="0" borderId="2" xfId="0" applyFont="1" applyFill="1" applyBorder="1"/>
    <xf numFmtId="2" fontId="32" fillId="0" borderId="3" xfId="0" applyNumberFormat="1" applyFont="1" applyFill="1" applyBorder="1" applyAlignment="1">
      <alignment horizontal="center"/>
    </xf>
    <xf numFmtId="0" fontId="32" fillId="0" borderId="1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18" fillId="0" borderId="8" xfId="0" applyFont="1" applyFill="1" applyBorder="1" applyAlignment="1">
      <alignment vertical="center"/>
    </xf>
    <xf numFmtId="2" fontId="32" fillId="0" borderId="8" xfId="0" applyNumberFormat="1" applyFont="1" applyBorder="1" applyAlignment="1">
      <alignment horizontal="center" vertical="center"/>
    </xf>
    <xf numFmtId="0" fontId="32" fillId="0" borderId="8" xfId="0" applyFont="1" applyFill="1" applyBorder="1" applyAlignment="1">
      <alignment vertical="center"/>
    </xf>
    <xf numFmtId="0" fontId="32" fillId="0" borderId="10" xfId="0" applyFont="1" applyBorder="1" applyAlignment="1">
      <alignment vertical="center"/>
    </xf>
    <xf numFmtId="0" fontId="32" fillId="0" borderId="2" xfId="0" applyFont="1" applyBorder="1" applyAlignment="1">
      <alignment vertical="center"/>
    </xf>
    <xf numFmtId="2" fontId="32" fillId="0" borderId="3" xfId="0" applyNumberFormat="1" applyFont="1" applyBorder="1" applyAlignment="1">
      <alignment horizontal="center" vertical="center"/>
    </xf>
    <xf numFmtId="2" fontId="32" fillId="0" borderId="9" xfId="0" applyNumberFormat="1" applyFont="1" applyFill="1" applyBorder="1" applyAlignment="1">
      <alignment horizontal="center" vertical="center"/>
    </xf>
    <xf numFmtId="0" fontId="32" fillId="0" borderId="18" xfId="0" applyFont="1" applyFill="1" applyBorder="1"/>
    <xf numFmtId="2" fontId="32" fillId="0" borderId="30" xfId="0" applyNumberFormat="1" applyFont="1" applyFill="1" applyBorder="1" applyAlignment="1">
      <alignment horizontal="center"/>
    </xf>
    <xf numFmtId="0" fontId="32" fillId="0" borderId="14" xfId="0" applyFont="1" applyBorder="1"/>
    <xf numFmtId="2" fontId="32" fillId="0" borderId="15" xfId="0" applyNumberFormat="1" applyFont="1" applyBorder="1" applyAlignment="1">
      <alignment horizontal="center"/>
    </xf>
    <xf numFmtId="0" fontId="32" fillId="0" borderId="0" xfId="0" applyFont="1" applyFill="1" applyBorder="1"/>
    <xf numFmtId="0" fontId="32" fillId="0" borderId="22" xfId="0" applyFont="1" applyFill="1" applyBorder="1"/>
    <xf numFmtId="0" fontId="37" fillId="0" borderId="1" xfId="0" applyFont="1" applyFill="1" applyBorder="1"/>
    <xf numFmtId="0" fontId="32" fillId="0" borderId="17" xfId="0" applyFont="1" applyFill="1" applyBorder="1"/>
    <xf numFmtId="2" fontId="32" fillId="0" borderId="5" xfId="0" applyNumberFormat="1" applyFont="1" applyFill="1" applyBorder="1" applyAlignment="1">
      <alignment horizontal="center"/>
    </xf>
    <xf numFmtId="0" fontId="32" fillId="0" borderId="2" xfId="0" applyFont="1" applyFill="1" applyBorder="1" applyAlignment="1">
      <alignment vertical="center"/>
    </xf>
    <xf numFmtId="2" fontId="32" fillId="0" borderId="3" xfId="0" applyNumberFormat="1" applyFont="1" applyFill="1" applyBorder="1" applyAlignment="1">
      <alignment horizontal="center" vertical="center"/>
    </xf>
    <xf numFmtId="0" fontId="32" fillId="0" borderId="19" xfId="0" applyFont="1" applyFill="1" applyBorder="1" applyAlignment="1">
      <alignment vertical="center"/>
    </xf>
    <xf numFmtId="2" fontId="32" fillId="0" borderId="20" xfId="0" applyNumberFormat="1" applyFont="1" applyFill="1" applyBorder="1" applyAlignment="1">
      <alignment horizontal="center" vertical="center"/>
    </xf>
    <xf numFmtId="0" fontId="32" fillId="0" borderId="17" xfId="0" applyFont="1" applyFill="1" applyBorder="1" applyAlignment="1">
      <alignment vertical="center"/>
    </xf>
    <xf numFmtId="2" fontId="32" fillId="0" borderId="5" xfId="0" applyNumberFormat="1" applyFont="1" applyFill="1" applyBorder="1" applyAlignment="1">
      <alignment horizontal="center" vertical="center"/>
    </xf>
    <xf numFmtId="0" fontId="32" fillId="0" borderId="14" xfId="0" applyFont="1" applyFill="1" applyBorder="1"/>
    <xf numFmtId="0" fontId="32" fillId="0" borderId="14" xfId="0" applyFont="1" applyFill="1" applyBorder="1" applyAlignment="1">
      <alignment vertical="center"/>
    </xf>
    <xf numFmtId="2" fontId="32" fillId="0" borderId="15" xfId="0" applyNumberFormat="1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vertical="center"/>
    </xf>
    <xf numFmtId="2" fontId="32" fillId="0" borderId="4" xfId="0" applyNumberFormat="1" applyFont="1" applyFill="1" applyBorder="1" applyAlignment="1">
      <alignment horizontal="center" vertical="center"/>
    </xf>
    <xf numFmtId="0" fontId="39" fillId="0" borderId="2" xfId="0" applyFont="1" applyBorder="1"/>
    <xf numFmtId="0" fontId="39" fillId="0" borderId="2" xfId="0" applyFont="1" applyBorder="1" applyAlignment="1">
      <alignment horizontal="center"/>
    </xf>
    <xf numFmtId="0" fontId="39" fillId="0" borderId="0" xfId="0" applyFont="1"/>
    <xf numFmtId="0" fontId="39" fillId="0" borderId="1" xfId="0" applyFont="1" applyBorder="1"/>
    <xf numFmtId="0" fontId="39" fillId="0" borderId="1" xfId="0" applyFont="1" applyBorder="1" applyAlignment="1">
      <alignment horizontal="center"/>
    </xf>
    <xf numFmtId="0" fontId="41" fillId="0" borderId="1" xfId="0" applyFont="1" applyBorder="1" applyAlignment="1">
      <alignment vertical="center" wrapText="1"/>
    </xf>
    <xf numFmtId="0" fontId="41" fillId="0" borderId="4" xfId="0" applyFont="1" applyBorder="1" applyAlignment="1">
      <alignment vertical="center"/>
    </xf>
    <xf numFmtId="2" fontId="41" fillId="0" borderId="1" xfId="0" applyNumberFormat="1" applyFont="1" applyBorder="1" applyAlignment="1">
      <alignment horizontal="center"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41" fillId="0" borderId="3" xfId="0" applyFont="1" applyBorder="1" applyAlignment="1">
      <alignment vertical="center"/>
    </xf>
    <xf numFmtId="0" fontId="41" fillId="11" borderId="0" xfId="0" applyFont="1" applyFill="1" applyAlignment="1">
      <alignment horizontal="center" vertical="center"/>
    </xf>
    <xf numFmtId="0" fontId="41" fillId="0" borderId="1" xfId="0" applyFont="1" applyBorder="1" applyAlignment="1">
      <alignment vertical="center"/>
    </xf>
    <xf numFmtId="2" fontId="41" fillId="0" borderId="4" xfId="0" applyNumberFormat="1" applyFont="1" applyBorder="1" applyAlignment="1">
      <alignment horizontal="center" vertical="center"/>
    </xf>
    <xf numFmtId="0" fontId="41" fillId="0" borderId="51" xfId="0" applyFont="1" applyBorder="1" applyAlignment="1">
      <alignment vertical="center" wrapText="1"/>
    </xf>
    <xf numFmtId="0" fontId="41" fillId="0" borderId="52" xfId="0" applyFont="1" applyBorder="1" applyAlignment="1">
      <alignment vertical="center"/>
    </xf>
    <xf numFmtId="2" fontId="41" fillId="0" borderId="5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6" fillId="0" borderId="1" xfId="0" applyFont="1" applyFill="1" applyBorder="1" applyAlignment="1">
      <alignment horizontal="left" vertical="center"/>
    </xf>
    <xf numFmtId="0" fontId="36" fillId="0" borderId="8" xfId="0" applyFont="1" applyFill="1" applyBorder="1" applyAlignment="1">
      <alignment horizontal="left" vertical="center"/>
    </xf>
    <xf numFmtId="0" fontId="21" fillId="0" borderId="24" xfId="0" applyFont="1" applyFill="1" applyBorder="1" applyAlignment="1">
      <alignment horizontal="left" vertical="center"/>
    </xf>
    <xf numFmtId="0" fontId="19" fillId="0" borderId="20" xfId="0" applyFont="1" applyBorder="1" applyAlignment="1">
      <alignment horizontal="left" vertical="center" wrapText="1"/>
    </xf>
    <xf numFmtId="0" fontId="19" fillId="0" borderId="20" xfId="0" applyFont="1" applyBorder="1" applyAlignment="1">
      <alignment horizontal="left"/>
    </xf>
    <xf numFmtId="0" fontId="42" fillId="0" borderId="1" xfId="0" applyFont="1" applyBorder="1" applyAlignment="1">
      <alignment horizontal="left"/>
    </xf>
    <xf numFmtId="0" fontId="20" fillId="0" borderId="1" xfId="0" applyFont="1" applyBorder="1"/>
    <xf numFmtId="0" fontId="42" fillId="0" borderId="1" xfId="0" applyFont="1" applyBorder="1" applyAlignment="1">
      <alignment horizontal="left" vertical="center" wrapText="1"/>
    </xf>
    <xf numFmtId="0" fontId="42" fillId="0" borderId="1" xfId="0" applyFont="1" applyFill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2" xfId="0" applyFont="1" applyBorder="1" applyAlignment="1">
      <alignment horizontal="left" vertical="center" wrapText="1"/>
    </xf>
    <xf numFmtId="0" fontId="20" fillId="0" borderId="2" xfId="0" applyFont="1" applyBorder="1"/>
    <xf numFmtId="0" fontId="42" fillId="0" borderId="51" xfId="0" applyFont="1" applyBorder="1" applyAlignment="1">
      <alignment horizontal="center" vertical="center"/>
    </xf>
    <xf numFmtId="0" fontId="19" fillId="0" borderId="51" xfId="0" applyFont="1" applyBorder="1" applyAlignment="1">
      <alignment horizontal="center" vertical="center"/>
    </xf>
    <xf numFmtId="0" fontId="19" fillId="0" borderId="5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2" fontId="41" fillId="0" borderId="38" xfId="0" applyNumberFormat="1" applyFont="1" applyBorder="1" applyAlignment="1">
      <alignment horizontal="center" vertical="center"/>
    </xf>
    <xf numFmtId="2" fontId="41" fillId="0" borderId="22" xfId="0" applyNumberFormat="1" applyFont="1" applyBorder="1" applyAlignment="1">
      <alignment horizontal="center" vertical="center"/>
    </xf>
    <xf numFmtId="2" fontId="30" fillId="0" borderId="55" xfId="0" applyNumberFormat="1" applyFont="1" applyFill="1" applyBorder="1" applyAlignment="1">
      <alignment horizontal="center" vertical="center"/>
    </xf>
    <xf numFmtId="2" fontId="41" fillId="0" borderId="53" xfId="0" applyNumberFormat="1" applyFont="1" applyBorder="1" applyAlignment="1">
      <alignment horizontal="center" vertical="center"/>
    </xf>
    <xf numFmtId="0" fontId="43" fillId="0" borderId="0" xfId="0" applyFont="1"/>
    <xf numFmtId="49" fontId="43" fillId="0" borderId="55" xfId="0" applyNumberFormat="1" applyFont="1" applyFill="1" applyBorder="1" applyAlignment="1">
      <alignment horizontal="center"/>
    </xf>
    <xf numFmtId="0" fontId="40" fillId="0" borderId="0" xfId="0" applyFont="1" applyFill="1" applyBorder="1" applyAlignment="1">
      <alignment horizontal="left" vertical="center"/>
    </xf>
    <xf numFmtId="0" fontId="41" fillId="0" borderId="0" xfId="0" applyFont="1" applyBorder="1" applyAlignment="1">
      <alignment vertical="center" wrapText="1"/>
    </xf>
    <xf numFmtId="2" fontId="41" fillId="0" borderId="0" xfId="0" applyNumberFormat="1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19" fillId="15" borderId="26" xfId="0" applyFont="1" applyFill="1" applyBorder="1" applyAlignment="1">
      <alignment horizontal="center" vertical="center" wrapText="1"/>
    </xf>
    <xf numFmtId="0" fontId="19" fillId="15" borderId="25" xfId="0" applyFont="1" applyFill="1" applyBorder="1" applyAlignment="1">
      <alignment horizontal="center" vertical="center" wrapText="1"/>
    </xf>
    <xf numFmtId="0" fontId="32" fillId="15" borderId="3" xfId="0" applyFont="1" applyFill="1" applyBorder="1" applyAlignment="1">
      <alignment horizontal="center" vertical="center"/>
    </xf>
    <xf numFmtId="0" fontId="32" fillId="15" borderId="2" xfId="0" applyFont="1" applyFill="1" applyBorder="1" applyAlignment="1">
      <alignment horizontal="center" vertical="center"/>
    </xf>
    <xf numFmtId="0" fontId="32" fillId="15" borderId="4" xfId="0" applyFont="1" applyFill="1" applyBorder="1" applyAlignment="1">
      <alignment horizontal="center" vertical="center"/>
    </xf>
    <xf numFmtId="0" fontId="32" fillId="15" borderId="1" xfId="0" applyFont="1" applyFill="1" applyBorder="1" applyAlignment="1">
      <alignment horizontal="center" vertical="center"/>
    </xf>
    <xf numFmtId="0" fontId="19" fillId="15" borderId="19" xfId="0" applyFont="1" applyFill="1" applyBorder="1" applyAlignment="1">
      <alignment horizontal="center" vertical="center"/>
    </xf>
    <xf numFmtId="0" fontId="19" fillId="15" borderId="19" xfId="0" applyFont="1" applyFill="1" applyBorder="1" applyAlignment="1">
      <alignment horizontal="center" vertical="center" wrapText="1"/>
    </xf>
    <xf numFmtId="0" fontId="39" fillId="0" borderId="3" xfId="0" applyFont="1" applyBorder="1" applyAlignment="1">
      <alignment horizontal="center"/>
    </xf>
    <xf numFmtId="0" fontId="39" fillId="0" borderId="4" xfId="0" applyFont="1" applyBorder="1" applyAlignment="1">
      <alignment horizontal="center"/>
    </xf>
    <xf numFmtId="2" fontId="30" fillId="0" borderId="57" xfId="0" applyNumberFormat="1" applyFont="1" applyFill="1" applyBorder="1" applyAlignment="1">
      <alignment horizontal="center" vertical="center"/>
    </xf>
    <xf numFmtId="166" fontId="43" fillId="0" borderId="57" xfId="0" applyNumberFormat="1" applyFont="1" applyFill="1" applyBorder="1" applyAlignment="1">
      <alignment horizontal="center"/>
    </xf>
    <xf numFmtId="0" fontId="19" fillId="15" borderId="41" xfId="0" applyFont="1" applyFill="1" applyBorder="1" applyAlignment="1">
      <alignment horizontal="center" vertical="center" wrapText="1"/>
    </xf>
    <xf numFmtId="0" fontId="32" fillId="15" borderId="58" xfId="0" applyFont="1" applyFill="1" applyBorder="1" applyAlignment="1">
      <alignment wrapText="1"/>
    </xf>
    <xf numFmtId="0" fontId="32" fillId="15" borderId="60" xfId="0" applyFont="1" applyFill="1" applyBorder="1" applyAlignment="1">
      <alignment wrapText="1"/>
    </xf>
    <xf numFmtId="0" fontId="32" fillId="15" borderId="61" xfId="0" applyFont="1" applyFill="1" applyBorder="1" applyAlignment="1">
      <alignment wrapText="1"/>
    </xf>
    <xf numFmtId="0" fontId="32" fillId="15" borderId="62" xfId="0" applyFont="1" applyFill="1" applyBorder="1" applyAlignment="1">
      <alignment wrapText="1"/>
    </xf>
    <xf numFmtId="0" fontId="32" fillId="15" borderId="59" xfId="0" applyFont="1" applyFill="1" applyBorder="1" applyAlignment="1">
      <alignment wrapText="1"/>
    </xf>
    <xf numFmtId="0" fontId="32" fillId="15" borderId="63" xfId="0" applyFont="1" applyFill="1" applyBorder="1" applyAlignment="1">
      <alignment wrapText="1"/>
    </xf>
    <xf numFmtId="0" fontId="32" fillId="15" borderId="56" xfId="0" applyFont="1" applyFill="1" applyBorder="1" applyAlignment="1">
      <alignment wrapText="1"/>
    </xf>
    <xf numFmtId="0" fontId="32" fillId="15" borderId="58" xfId="0" applyFont="1" applyFill="1" applyBorder="1" applyAlignment="1">
      <alignment vertical="center" wrapText="1"/>
    </xf>
    <xf numFmtId="0" fontId="32" fillId="15" borderId="63" xfId="0" applyFont="1" applyFill="1" applyBorder="1" applyAlignment="1">
      <alignment vertical="center" wrapText="1"/>
    </xf>
    <xf numFmtId="0" fontId="32" fillId="15" borderId="62" xfId="0" applyFont="1" applyFill="1" applyBorder="1" applyAlignment="1">
      <alignment vertical="center" wrapText="1"/>
    </xf>
    <xf numFmtId="0" fontId="32" fillId="15" borderId="59" xfId="0" applyFont="1" applyFill="1" applyBorder="1" applyAlignment="1">
      <alignment vertical="center" wrapText="1"/>
    </xf>
    <xf numFmtId="0" fontId="32" fillId="15" borderId="60" xfId="0" applyFont="1" applyFill="1" applyBorder="1" applyAlignment="1">
      <alignment vertical="center" wrapText="1"/>
    </xf>
    <xf numFmtId="0" fontId="32" fillId="15" borderId="60" xfId="0" applyFont="1" applyFill="1" applyBorder="1" applyAlignment="1"/>
    <xf numFmtId="0" fontId="32" fillId="15" borderId="58" xfId="0" applyFont="1" applyFill="1" applyBorder="1" applyAlignment="1">
      <alignment horizontal="center" vertical="center"/>
    </xf>
    <xf numFmtId="0" fontId="32" fillId="15" borderId="60" xfId="0" applyFont="1" applyFill="1" applyBorder="1" applyAlignment="1">
      <alignment horizontal="center" vertical="center"/>
    </xf>
    <xf numFmtId="0" fontId="39" fillId="15" borderId="58" xfId="0" applyFont="1" applyFill="1" applyBorder="1" applyAlignment="1">
      <alignment wrapText="1"/>
    </xf>
    <xf numFmtId="0" fontId="39" fillId="15" borderId="60" xfId="0" applyFont="1" applyFill="1" applyBorder="1" applyAlignment="1">
      <alignment wrapText="1"/>
    </xf>
    <xf numFmtId="0" fontId="19" fillId="15" borderId="41" xfId="0" applyFont="1" applyFill="1" applyBorder="1" applyAlignment="1">
      <alignment horizontal="center" vertical="center"/>
    </xf>
    <xf numFmtId="0" fontId="41" fillId="15" borderId="58" xfId="0" applyFont="1" applyFill="1" applyBorder="1" applyAlignment="1">
      <alignment vertical="center" wrapText="1"/>
    </xf>
    <xf numFmtId="0" fontId="41" fillId="15" borderId="60" xfId="0" applyFont="1" applyFill="1" applyBorder="1" applyAlignment="1">
      <alignment vertical="center" wrapText="1"/>
    </xf>
    <xf numFmtId="0" fontId="41" fillId="15" borderId="64" xfId="0" applyFont="1" applyFill="1" applyBorder="1" applyAlignment="1">
      <alignment vertical="center" wrapText="1"/>
    </xf>
    <xf numFmtId="0" fontId="41" fillId="15" borderId="56" xfId="0" applyFont="1" applyFill="1" applyBorder="1" applyAlignment="1">
      <alignment vertical="center" wrapText="1"/>
    </xf>
    <xf numFmtId="0" fontId="19" fillId="15" borderId="56" xfId="0" applyFont="1" applyFill="1" applyBorder="1" applyAlignment="1">
      <alignment horizontal="center" vertical="center" wrapText="1"/>
    </xf>
    <xf numFmtId="0" fontId="18" fillId="15" borderId="56" xfId="0" applyFont="1" applyFill="1" applyBorder="1" applyAlignment="1">
      <alignment wrapText="1"/>
    </xf>
    <xf numFmtId="0" fontId="19" fillId="15" borderId="20" xfId="0" applyFont="1" applyFill="1" applyBorder="1" applyAlignment="1">
      <alignment horizontal="center" vertical="center"/>
    </xf>
    <xf numFmtId="0" fontId="19" fillId="15" borderId="20" xfId="0" applyFont="1" applyFill="1" applyBorder="1" applyAlignment="1">
      <alignment horizontal="center" vertical="center" wrapText="1"/>
    </xf>
    <xf numFmtId="43" fontId="32" fillId="15" borderId="2" xfId="2" applyFont="1" applyFill="1" applyBorder="1" applyAlignment="1">
      <alignment horizontal="center" wrapText="1"/>
    </xf>
    <xf numFmtId="43" fontId="32" fillId="15" borderId="3" xfId="2" applyFont="1" applyFill="1" applyBorder="1" applyAlignment="1">
      <alignment horizontal="center" wrapText="1"/>
    </xf>
    <xf numFmtId="43" fontId="32" fillId="15" borderId="1" xfId="2" applyFont="1" applyFill="1" applyBorder="1" applyAlignment="1">
      <alignment horizontal="center" wrapText="1"/>
    </xf>
    <xf numFmtId="43" fontId="32" fillId="15" borderId="4" xfId="2" applyFont="1" applyFill="1" applyBorder="1" applyAlignment="1">
      <alignment horizontal="center" wrapText="1"/>
    </xf>
    <xf numFmtId="43" fontId="32" fillId="15" borderId="18" xfId="2" applyFont="1" applyFill="1" applyBorder="1" applyAlignment="1">
      <alignment horizontal="center" wrapText="1"/>
    </xf>
    <xf numFmtId="43" fontId="32" fillId="15" borderId="30" xfId="2" applyFont="1" applyFill="1" applyBorder="1" applyAlignment="1">
      <alignment horizontal="center" wrapText="1"/>
    </xf>
    <xf numFmtId="0" fontId="32" fillId="15" borderId="2" xfId="0" applyFont="1" applyFill="1" applyBorder="1" applyAlignment="1">
      <alignment horizontal="center" wrapText="1"/>
    </xf>
    <xf numFmtId="0" fontId="32" fillId="15" borderId="3" xfId="0" applyFont="1" applyFill="1" applyBorder="1" applyAlignment="1">
      <alignment horizontal="center" wrapText="1"/>
    </xf>
    <xf numFmtId="0" fontId="32" fillId="15" borderId="18" xfId="0" applyFont="1" applyFill="1" applyBorder="1" applyAlignment="1">
      <alignment horizontal="center" wrapText="1"/>
    </xf>
    <xf numFmtId="0" fontId="32" fillId="15" borderId="30" xfId="0" applyFont="1" applyFill="1" applyBorder="1" applyAlignment="1">
      <alignment horizontal="center" wrapText="1"/>
    </xf>
    <xf numFmtId="0" fontId="32" fillId="15" borderId="1" xfId="0" applyFont="1" applyFill="1" applyBorder="1" applyAlignment="1">
      <alignment horizontal="center" wrapText="1"/>
    </xf>
    <xf numFmtId="0" fontId="32" fillId="15" borderId="4" xfId="0" applyFont="1" applyFill="1" applyBorder="1" applyAlignment="1">
      <alignment horizontal="center" wrapText="1"/>
    </xf>
    <xf numFmtId="0" fontId="32" fillId="15" borderId="8" xfId="0" applyFont="1" applyFill="1" applyBorder="1" applyAlignment="1">
      <alignment horizontal="center" wrapText="1"/>
    </xf>
    <xf numFmtId="0" fontId="32" fillId="15" borderId="9" xfId="0" applyFont="1" applyFill="1" applyBorder="1" applyAlignment="1">
      <alignment horizontal="center" wrapText="1"/>
    </xf>
    <xf numFmtId="0" fontId="32" fillId="15" borderId="19" xfId="0" applyFont="1" applyFill="1" applyBorder="1" applyAlignment="1">
      <alignment horizontal="center" wrapText="1"/>
    </xf>
    <xf numFmtId="0" fontId="32" fillId="15" borderId="20" xfId="0" applyFont="1" applyFill="1" applyBorder="1" applyAlignment="1">
      <alignment horizontal="center" wrapText="1"/>
    </xf>
    <xf numFmtId="0" fontId="18" fillId="15" borderId="19" xfId="0" applyFont="1" applyFill="1" applyBorder="1" applyAlignment="1">
      <alignment horizontal="center" wrapText="1"/>
    </xf>
    <xf numFmtId="0" fontId="18" fillId="15" borderId="20" xfId="0" applyFont="1" applyFill="1" applyBorder="1" applyAlignment="1">
      <alignment horizontal="center" wrapText="1"/>
    </xf>
    <xf numFmtId="0" fontId="32" fillId="15" borderId="2" xfId="0" applyFont="1" applyFill="1" applyBorder="1" applyAlignment="1">
      <alignment horizontal="center" vertical="center" wrapText="1"/>
    </xf>
    <xf numFmtId="0" fontId="32" fillId="15" borderId="3" xfId="0" applyFont="1" applyFill="1" applyBorder="1" applyAlignment="1">
      <alignment horizontal="center" vertical="center" wrapText="1"/>
    </xf>
    <xf numFmtId="0" fontId="32" fillId="15" borderId="19" xfId="0" applyFont="1" applyFill="1" applyBorder="1" applyAlignment="1">
      <alignment horizontal="center" vertical="center" wrapText="1"/>
    </xf>
    <xf numFmtId="0" fontId="32" fillId="15" borderId="20" xfId="0" applyFont="1" applyFill="1" applyBorder="1" applyAlignment="1">
      <alignment horizontal="center" vertical="center" wrapText="1"/>
    </xf>
    <xf numFmtId="0" fontId="32" fillId="15" borderId="18" xfId="0" applyFont="1" applyFill="1" applyBorder="1" applyAlignment="1">
      <alignment horizontal="center" vertical="center" wrapText="1"/>
    </xf>
    <xf numFmtId="0" fontId="32" fillId="15" borderId="30" xfId="0" applyFont="1" applyFill="1" applyBorder="1" applyAlignment="1">
      <alignment horizontal="center" vertical="center" wrapText="1"/>
    </xf>
    <xf numFmtId="0" fontId="32" fillId="15" borderId="1" xfId="0" applyFont="1" applyFill="1" applyBorder="1" applyAlignment="1">
      <alignment horizontal="center" vertical="center" wrapText="1"/>
    </xf>
    <xf numFmtId="0" fontId="32" fillId="15" borderId="4" xfId="0" applyFont="1" applyFill="1" applyBorder="1" applyAlignment="1">
      <alignment horizontal="center" vertical="center" wrapText="1"/>
    </xf>
    <xf numFmtId="0" fontId="32" fillId="15" borderId="8" xfId="0" applyFont="1" applyFill="1" applyBorder="1" applyAlignment="1">
      <alignment horizontal="center" vertical="center" wrapText="1"/>
    </xf>
    <xf numFmtId="0" fontId="32" fillId="15" borderId="9" xfId="0" applyFont="1" applyFill="1" applyBorder="1" applyAlignment="1">
      <alignment horizontal="center" vertical="center" wrapText="1"/>
    </xf>
    <xf numFmtId="0" fontId="32" fillId="15" borderId="17" xfId="0" applyFont="1" applyFill="1" applyBorder="1" applyAlignment="1">
      <alignment horizontal="center" wrapText="1"/>
    </xf>
    <xf numFmtId="0" fontId="32" fillId="15" borderId="5" xfId="0" applyFont="1" applyFill="1" applyBorder="1" applyAlignment="1">
      <alignment horizontal="center" wrapText="1"/>
    </xf>
    <xf numFmtId="0" fontId="32" fillId="15" borderId="1" xfId="0" applyFont="1" applyFill="1" applyBorder="1" applyAlignment="1">
      <alignment horizontal="center"/>
    </xf>
    <xf numFmtId="0" fontId="32" fillId="15" borderId="4" xfId="0" applyFont="1" applyFill="1" applyBorder="1" applyAlignment="1">
      <alignment horizontal="center"/>
    </xf>
    <xf numFmtId="0" fontId="39" fillId="15" borderId="2" xfId="0" applyFont="1" applyFill="1" applyBorder="1" applyAlignment="1">
      <alignment horizontal="center" wrapText="1"/>
    </xf>
    <xf numFmtId="0" fontId="39" fillId="15" borderId="3" xfId="0" applyFont="1" applyFill="1" applyBorder="1" applyAlignment="1">
      <alignment horizontal="center" wrapText="1"/>
    </xf>
    <xf numFmtId="0" fontId="39" fillId="15" borderId="1" xfId="0" applyFont="1" applyFill="1" applyBorder="1" applyAlignment="1">
      <alignment horizontal="center" wrapText="1"/>
    </xf>
    <xf numFmtId="0" fontId="39" fillId="15" borderId="4" xfId="0" applyFont="1" applyFill="1" applyBorder="1" applyAlignment="1">
      <alignment horizontal="center" wrapText="1"/>
    </xf>
    <xf numFmtId="0" fontId="41" fillId="15" borderId="19" xfId="0" applyFont="1" applyFill="1" applyBorder="1" applyAlignment="1">
      <alignment horizontal="center" vertical="center" wrapText="1"/>
    </xf>
    <xf numFmtId="0" fontId="41" fillId="15" borderId="20" xfId="0" applyFont="1" applyFill="1" applyBorder="1" applyAlignment="1">
      <alignment horizontal="center" vertical="center" wrapText="1"/>
    </xf>
    <xf numFmtId="0" fontId="32" fillId="15" borderId="14" xfId="0" applyFont="1" applyFill="1" applyBorder="1" applyAlignment="1">
      <alignment horizontal="center" vertical="center" wrapText="1"/>
    </xf>
    <xf numFmtId="0" fontId="37" fillId="0" borderId="1" xfId="0" applyFont="1" applyBorder="1"/>
    <xf numFmtId="0" fontId="37" fillId="0" borderId="1" xfId="0" applyFont="1" applyBorder="1" applyAlignment="1">
      <alignment vertical="center"/>
    </xf>
    <xf numFmtId="0" fontId="37" fillId="15" borderId="60" xfId="0" applyFont="1" applyFill="1" applyBorder="1" applyAlignment="1">
      <alignment vertical="center" wrapText="1"/>
    </xf>
    <xf numFmtId="0" fontId="37" fillId="0" borderId="0" xfId="0" applyFont="1" applyBorder="1"/>
    <xf numFmtId="0" fontId="32" fillId="15" borderId="65" xfId="0" applyFont="1" applyFill="1" applyBorder="1" applyAlignment="1">
      <alignment horizontal="center" wrapText="1"/>
    </xf>
    <xf numFmtId="2" fontId="37" fillId="0" borderId="5" xfId="0" applyNumberFormat="1" applyFont="1" applyBorder="1" applyAlignment="1">
      <alignment horizontal="center" vertical="center"/>
    </xf>
    <xf numFmtId="2" fontId="37" fillId="0" borderId="4" xfId="0" applyNumberFormat="1" applyFont="1" applyBorder="1" applyAlignment="1">
      <alignment horizontal="center"/>
    </xf>
    <xf numFmtId="0" fontId="37" fillId="15" borderId="60" xfId="0" applyFont="1" applyFill="1" applyBorder="1" applyAlignment="1">
      <alignment wrapText="1"/>
    </xf>
    <xf numFmtId="43" fontId="37" fillId="15" borderId="2" xfId="2" applyFont="1" applyFill="1" applyBorder="1" applyAlignment="1">
      <alignment horizontal="center" wrapText="1"/>
    </xf>
    <xf numFmtId="43" fontId="37" fillId="15" borderId="3" xfId="2" applyFont="1" applyFill="1" applyBorder="1" applyAlignment="1">
      <alignment horizontal="center" wrapText="1"/>
    </xf>
    <xf numFmtId="0" fontId="37" fillId="0" borderId="0" xfId="0" applyFont="1"/>
    <xf numFmtId="2" fontId="32" fillId="0" borderId="1" xfId="0" applyNumberFormat="1" applyFont="1" applyFill="1" applyBorder="1" applyAlignment="1">
      <alignment horizontal="center"/>
    </xf>
    <xf numFmtId="43" fontId="32" fillId="15" borderId="8" xfId="2" applyFont="1" applyFill="1" applyBorder="1" applyAlignment="1">
      <alignment horizontal="center" wrapText="1"/>
    </xf>
    <xf numFmtId="43" fontId="32" fillId="15" borderId="9" xfId="2" applyFont="1" applyFill="1" applyBorder="1" applyAlignment="1">
      <alignment horizontal="center" wrapText="1"/>
    </xf>
    <xf numFmtId="43" fontId="32" fillId="15" borderId="1" xfId="2" applyFont="1" applyFill="1" applyBorder="1" applyAlignment="1">
      <alignment horizontal="center" vertical="center" wrapText="1"/>
    </xf>
    <xf numFmtId="43" fontId="32" fillId="15" borderId="4" xfId="2" applyFont="1" applyFill="1" applyBorder="1" applyAlignment="1">
      <alignment horizontal="center" vertical="center" wrapText="1"/>
    </xf>
    <xf numFmtId="0" fontId="32" fillId="0" borderId="13" xfId="0" applyFont="1" applyBorder="1"/>
    <xf numFmtId="43" fontId="32" fillId="15" borderId="8" xfId="2" applyFont="1" applyFill="1" applyBorder="1" applyAlignment="1">
      <alignment horizontal="center" vertical="center" wrapText="1"/>
    </xf>
    <xf numFmtId="43" fontId="32" fillId="15" borderId="9" xfId="2" applyFont="1" applyFill="1" applyBorder="1" applyAlignment="1">
      <alignment horizontal="center" vertical="center" wrapText="1"/>
    </xf>
    <xf numFmtId="0" fontId="32" fillId="15" borderId="14" xfId="0" applyFont="1" applyFill="1" applyBorder="1" applyAlignment="1">
      <alignment horizontal="center" wrapText="1"/>
    </xf>
    <xf numFmtId="2" fontId="32" fillId="0" borderId="1" xfId="0" applyNumberFormat="1" applyFont="1" applyBorder="1" applyAlignment="1">
      <alignment horizontal="center"/>
    </xf>
    <xf numFmtId="0" fontId="32" fillId="0" borderId="2" xfId="0" applyFont="1" applyBorder="1" applyAlignment="1">
      <alignment wrapText="1"/>
    </xf>
    <xf numFmtId="0" fontId="32" fillId="15" borderId="15" xfId="0" applyFont="1" applyFill="1" applyBorder="1" applyAlignment="1">
      <alignment horizontal="center" wrapText="1"/>
    </xf>
    <xf numFmtId="0" fontId="32" fillId="0" borderId="66" xfId="0" applyFont="1" applyBorder="1"/>
    <xf numFmtId="0" fontId="32" fillId="0" borderId="3" xfId="0" applyFont="1" applyBorder="1" applyAlignment="1">
      <alignment horizontal="center"/>
    </xf>
    <xf numFmtId="0" fontId="32" fillId="0" borderId="5" xfId="0" applyFont="1" applyBorder="1" applyAlignment="1">
      <alignment horizontal="center"/>
    </xf>
    <xf numFmtId="0" fontId="32" fillId="0" borderId="9" xfId="0" applyFont="1" applyBorder="1" applyAlignment="1">
      <alignment horizontal="center"/>
    </xf>
    <xf numFmtId="0" fontId="32" fillId="0" borderId="14" xfId="0" applyFont="1" applyBorder="1" applyAlignment="1"/>
    <xf numFmtId="0" fontId="32" fillId="15" borderId="62" xfId="0" applyFont="1" applyFill="1" applyBorder="1" applyAlignment="1"/>
    <xf numFmtId="0" fontId="32" fillId="15" borderId="2" xfId="0" applyFont="1" applyFill="1" applyBorder="1" applyAlignment="1">
      <alignment horizontal="center"/>
    </xf>
    <xf numFmtId="0" fontId="32" fillId="15" borderId="3" xfId="0" applyFont="1" applyFill="1" applyBorder="1" applyAlignment="1">
      <alignment horizontal="center"/>
    </xf>
    <xf numFmtId="0" fontId="32" fillId="0" borderId="8" xfId="0" applyFont="1" applyBorder="1" applyAlignment="1"/>
    <xf numFmtId="0" fontId="32" fillId="15" borderId="59" xfId="0" applyFont="1" applyFill="1" applyBorder="1" applyAlignment="1"/>
    <xf numFmtId="0" fontId="32" fillId="15" borderId="8" xfId="0" applyFont="1" applyFill="1" applyBorder="1" applyAlignment="1">
      <alignment horizontal="center"/>
    </xf>
    <xf numFmtId="0" fontId="32" fillId="15" borderId="9" xfId="0" applyFont="1" applyFill="1" applyBorder="1" applyAlignment="1">
      <alignment horizontal="center"/>
    </xf>
    <xf numFmtId="0" fontId="32" fillId="15" borderId="67" xfId="0" applyFont="1" applyFill="1" applyBorder="1" applyAlignment="1">
      <alignment horizontal="center" wrapText="1"/>
    </xf>
    <xf numFmtId="0" fontId="37" fillId="0" borderId="2" xfId="0" applyFont="1" applyFill="1" applyBorder="1"/>
    <xf numFmtId="2" fontId="37" fillId="0" borderId="3" xfId="0" applyNumberFormat="1" applyFont="1" applyFill="1" applyBorder="1" applyAlignment="1">
      <alignment horizontal="center"/>
    </xf>
    <xf numFmtId="0" fontId="37" fillId="15" borderId="58" xfId="0" applyFont="1" applyFill="1" applyBorder="1" applyAlignment="1">
      <alignment wrapText="1"/>
    </xf>
    <xf numFmtId="0" fontId="37" fillId="0" borderId="0" xfId="0" applyFont="1" applyFill="1"/>
    <xf numFmtId="0" fontId="37" fillId="0" borderId="1" xfId="0" applyFont="1" applyFill="1" applyBorder="1" applyAlignment="1">
      <alignment vertical="center"/>
    </xf>
    <xf numFmtId="2" fontId="37" fillId="0" borderId="4" xfId="0" applyNumberFormat="1" applyFont="1" applyFill="1" applyBorder="1" applyAlignment="1">
      <alignment horizontal="center" vertical="center"/>
    </xf>
    <xf numFmtId="43" fontId="37" fillId="15" borderId="1" xfId="2" applyFont="1" applyFill="1" applyBorder="1" applyAlignment="1">
      <alignment horizontal="center" vertical="center" wrapText="1"/>
    </xf>
    <xf numFmtId="43" fontId="37" fillId="15" borderId="4" xfId="2" applyFont="1" applyFill="1" applyBorder="1" applyAlignment="1">
      <alignment horizontal="center" vertical="center" wrapText="1"/>
    </xf>
    <xf numFmtId="0" fontId="37" fillId="0" borderId="22" xfId="0" applyFont="1" applyFill="1" applyBorder="1"/>
    <xf numFmtId="0" fontId="37" fillId="0" borderId="18" xfId="0" applyFont="1" applyFill="1" applyBorder="1"/>
    <xf numFmtId="2" fontId="37" fillId="0" borderId="30" xfId="0" applyNumberFormat="1" applyFont="1" applyFill="1" applyBorder="1" applyAlignment="1">
      <alignment horizontal="center"/>
    </xf>
    <xf numFmtId="0" fontId="37" fillId="15" borderId="61" xfId="0" applyFont="1" applyFill="1" applyBorder="1" applyAlignment="1">
      <alignment wrapText="1"/>
    </xf>
    <xf numFmtId="43" fontId="37" fillId="15" borderId="18" xfId="2" applyFont="1" applyFill="1" applyBorder="1" applyAlignment="1">
      <alignment horizontal="center" wrapText="1"/>
    </xf>
    <xf numFmtId="43" fontId="37" fillId="15" borderId="30" xfId="2" applyFont="1" applyFill="1" applyBorder="1" applyAlignment="1">
      <alignment horizontal="center" wrapText="1"/>
    </xf>
    <xf numFmtId="0" fontId="37" fillId="0" borderId="10" xfId="0" applyFont="1" applyFill="1" applyBorder="1"/>
    <xf numFmtId="2" fontId="37" fillId="0" borderId="4" xfId="0" applyNumberFormat="1" applyFont="1" applyFill="1" applyBorder="1" applyAlignment="1">
      <alignment horizontal="center"/>
    </xf>
    <xf numFmtId="43" fontId="37" fillId="15" borderId="1" xfId="2" applyFont="1" applyFill="1" applyBorder="1" applyAlignment="1">
      <alignment horizontal="center" wrapText="1"/>
    </xf>
    <xf numFmtId="43" fontId="37" fillId="15" borderId="4" xfId="2" applyFont="1" applyFill="1" applyBorder="1" applyAlignment="1">
      <alignment horizontal="center" wrapText="1"/>
    </xf>
    <xf numFmtId="0" fontId="37" fillId="0" borderId="14" xfId="0" applyFont="1" applyFill="1" applyBorder="1" applyAlignment="1">
      <alignment horizontal="left" vertical="center"/>
    </xf>
    <xf numFmtId="0" fontId="37" fillId="0" borderId="14" xfId="0" applyFont="1" applyBorder="1"/>
    <xf numFmtId="2" fontId="37" fillId="0" borderId="15" xfId="0" applyNumberFormat="1" applyFont="1" applyBorder="1" applyAlignment="1">
      <alignment horizontal="center"/>
    </xf>
    <xf numFmtId="0" fontId="37" fillId="15" borderId="62" xfId="0" applyFont="1" applyFill="1" applyBorder="1" applyAlignment="1">
      <alignment wrapText="1"/>
    </xf>
    <xf numFmtId="43" fontId="37" fillId="15" borderId="14" xfId="2" applyFont="1" applyFill="1" applyBorder="1" applyAlignment="1">
      <alignment horizontal="center" wrapText="1"/>
    </xf>
    <xf numFmtId="43" fontId="37" fillId="15" borderId="15" xfId="2" applyFont="1" applyFill="1" applyBorder="1" applyAlignment="1">
      <alignment horizontal="center" wrapText="1"/>
    </xf>
    <xf numFmtId="0" fontId="37" fillId="0" borderId="1" xfId="0" applyFont="1" applyFill="1" applyBorder="1" applyAlignment="1">
      <alignment horizontal="left"/>
    </xf>
    <xf numFmtId="43" fontId="37" fillId="15" borderId="2" xfId="2" applyFont="1" applyFill="1" applyBorder="1" applyAlignment="1">
      <alignment horizontal="center" vertical="center" wrapText="1"/>
    </xf>
    <xf numFmtId="43" fontId="37" fillId="15" borderId="3" xfId="2" applyFont="1" applyFill="1" applyBorder="1" applyAlignment="1">
      <alignment horizontal="center" vertical="center" wrapText="1"/>
    </xf>
    <xf numFmtId="0" fontId="37" fillId="0" borderId="17" xfId="0" applyFont="1" applyFill="1" applyBorder="1"/>
    <xf numFmtId="2" fontId="37" fillId="0" borderId="5" xfId="0" applyNumberFormat="1" applyFont="1" applyFill="1" applyBorder="1" applyAlignment="1">
      <alignment horizontal="center"/>
    </xf>
    <xf numFmtId="0" fontId="37" fillId="15" borderId="63" xfId="0" applyFont="1" applyFill="1" applyBorder="1" applyAlignment="1">
      <alignment wrapText="1"/>
    </xf>
    <xf numFmtId="0" fontId="37" fillId="0" borderId="8" xfId="0" applyFont="1" applyFill="1" applyBorder="1"/>
    <xf numFmtId="2" fontId="37" fillId="0" borderId="9" xfId="0" applyNumberFormat="1" applyFont="1" applyFill="1" applyBorder="1" applyAlignment="1">
      <alignment horizontal="center"/>
    </xf>
    <xf numFmtId="0" fontId="37" fillId="15" borderId="59" xfId="0" applyFont="1" applyFill="1" applyBorder="1" applyAlignment="1">
      <alignment wrapText="1"/>
    </xf>
    <xf numFmtId="0" fontId="37" fillId="0" borderId="10" xfId="0" applyFont="1" applyBorder="1"/>
    <xf numFmtId="0" fontId="37" fillId="15" borderId="2" xfId="0" applyFont="1" applyFill="1" applyBorder="1" applyAlignment="1">
      <alignment horizontal="center" wrapText="1"/>
    </xf>
    <xf numFmtId="0" fontId="37" fillId="15" borderId="3" xfId="0" applyFont="1" applyFill="1" applyBorder="1" applyAlignment="1">
      <alignment horizontal="center" wrapText="1"/>
    </xf>
    <xf numFmtId="1" fontId="37" fillId="12" borderId="32" xfId="0" applyNumberFormat="1" applyFont="1" applyFill="1" applyBorder="1"/>
    <xf numFmtId="1" fontId="37" fillId="12" borderId="29" xfId="0" applyNumberFormat="1" applyFont="1" applyFill="1" applyBorder="1"/>
    <xf numFmtId="0" fontId="37" fillId="15" borderId="1" xfId="0" applyFont="1" applyFill="1" applyBorder="1" applyAlignment="1">
      <alignment horizontal="center" wrapText="1"/>
    </xf>
    <xf numFmtId="0" fontId="37" fillId="15" borderId="4" xfId="0" applyFont="1" applyFill="1" applyBorder="1" applyAlignment="1">
      <alignment horizontal="center" wrapText="1"/>
    </xf>
    <xf numFmtId="0" fontId="37" fillId="15" borderId="8" xfId="0" applyFont="1" applyFill="1" applyBorder="1" applyAlignment="1">
      <alignment horizontal="center" wrapText="1"/>
    </xf>
    <xf numFmtId="0" fontId="37" fillId="15" borderId="9" xfId="0" applyFont="1" applyFill="1" applyBorder="1" applyAlignment="1">
      <alignment horizontal="center" wrapText="1"/>
    </xf>
    <xf numFmtId="0" fontId="37" fillId="0" borderId="2" xfId="0" applyFont="1" applyBorder="1"/>
    <xf numFmtId="2" fontId="37" fillId="0" borderId="3" xfId="0" applyNumberFormat="1" applyFont="1" applyBorder="1" applyAlignment="1">
      <alignment horizontal="center"/>
    </xf>
    <xf numFmtId="0" fontId="37" fillId="0" borderId="18" xfId="0" applyFont="1" applyBorder="1"/>
    <xf numFmtId="2" fontId="37" fillId="0" borderId="30" xfId="0" applyNumberFormat="1" applyFont="1" applyBorder="1" applyAlignment="1">
      <alignment horizontal="center"/>
    </xf>
    <xf numFmtId="0" fontId="37" fillId="15" borderId="18" xfId="0" applyFont="1" applyFill="1" applyBorder="1" applyAlignment="1">
      <alignment horizontal="center" wrapText="1"/>
    </xf>
    <xf numFmtId="0" fontId="37" fillId="15" borderId="30" xfId="0" applyFont="1" applyFill="1" applyBorder="1" applyAlignment="1">
      <alignment horizontal="center" wrapText="1"/>
    </xf>
    <xf numFmtId="1" fontId="37" fillId="12" borderId="34" xfId="0" applyNumberFormat="1" applyFont="1" applyFill="1" applyBorder="1"/>
    <xf numFmtId="0" fontId="37" fillId="0" borderId="22" xfId="0" applyFont="1" applyBorder="1"/>
    <xf numFmtId="0" fontId="37" fillId="0" borderId="17" xfId="0" applyFont="1" applyBorder="1"/>
    <xf numFmtId="2" fontId="37" fillId="0" borderId="5" xfId="0" applyNumberFormat="1" applyFont="1" applyBorder="1" applyAlignment="1">
      <alignment horizontal="center"/>
    </xf>
    <xf numFmtId="0" fontId="37" fillId="0" borderId="17" xfId="0" applyFont="1" applyBorder="1" applyAlignment="1">
      <alignment vertical="center"/>
    </xf>
    <xf numFmtId="0" fontId="37" fillId="15" borderId="19" xfId="0" applyFont="1" applyFill="1" applyBorder="1" applyAlignment="1">
      <alignment horizontal="center" wrapText="1"/>
    </xf>
    <xf numFmtId="0" fontId="37" fillId="15" borderId="20" xfId="0" applyFont="1" applyFill="1" applyBorder="1" applyAlignment="1">
      <alignment horizontal="center" wrapText="1"/>
    </xf>
    <xf numFmtId="0" fontId="37" fillId="0" borderId="8" xfId="0" applyFont="1" applyBorder="1"/>
    <xf numFmtId="2" fontId="37" fillId="0" borderId="9" xfId="0" applyNumberFormat="1" applyFont="1" applyBorder="1" applyAlignment="1">
      <alignment horizontal="center"/>
    </xf>
    <xf numFmtId="0" fontId="37" fillId="0" borderId="23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textRotation="90"/>
    </xf>
    <xf numFmtId="0" fontId="1" fillId="0" borderId="0" xfId="0" applyFont="1" applyAlignment="1">
      <alignment horizontal="center" wrapText="1"/>
    </xf>
    <xf numFmtId="0" fontId="10" fillId="0" borderId="1" xfId="0" applyFont="1" applyFill="1" applyBorder="1" applyAlignment="1">
      <alignment horizontal="center"/>
    </xf>
    <xf numFmtId="0" fontId="10" fillId="0" borderId="17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14" xfId="0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/>
    </xf>
    <xf numFmtId="0" fontId="10" fillId="7" borderId="37" xfId="0" applyFont="1" applyFill="1" applyBorder="1" applyAlignment="1">
      <alignment horizontal="center"/>
    </xf>
    <xf numFmtId="0" fontId="10" fillId="7" borderId="19" xfId="0" applyFont="1" applyFill="1" applyBorder="1" applyAlignment="1">
      <alignment horizontal="center"/>
    </xf>
    <xf numFmtId="0" fontId="10" fillId="7" borderId="18" xfId="0" applyFont="1" applyFill="1" applyBorder="1" applyAlignment="1">
      <alignment horizontal="center"/>
    </xf>
    <xf numFmtId="0" fontId="10" fillId="0" borderId="37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" fillId="0" borderId="0" xfId="0" applyFont="1" applyAlignment="1">
      <alignment horizontal="right" wrapText="1"/>
    </xf>
    <xf numFmtId="0" fontId="10" fillId="0" borderId="2" xfId="0" applyFont="1" applyFill="1" applyBorder="1" applyAlignment="1">
      <alignment horizontal="center"/>
    </xf>
    <xf numFmtId="0" fontId="10" fillId="0" borderId="37" xfId="0" applyFont="1" applyFill="1" applyBorder="1" applyAlignment="1">
      <alignment horizontal="center"/>
    </xf>
    <xf numFmtId="0" fontId="10" fillId="0" borderId="19" xfId="0" applyFont="1" applyFill="1" applyBorder="1" applyAlignment="1">
      <alignment horizontal="center"/>
    </xf>
    <xf numFmtId="0" fontId="10" fillId="0" borderId="18" xfId="0" applyFont="1" applyFill="1" applyBorder="1" applyAlignment="1">
      <alignment horizontal="center"/>
    </xf>
    <xf numFmtId="0" fontId="10" fillId="7" borderId="19" xfId="0" applyFont="1" applyFill="1" applyBorder="1" applyAlignment="1"/>
    <xf numFmtId="0" fontId="15" fillId="11" borderId="4" xfId="0" applyFont="1" applyFill="1" applyBorder="1" applyAlignment="1">
      <alignment horizontal="center"/>
    </xf>
    <xf numFmtId="0" fontId="15" fillId="11" borderId="38" xfId="0" applyFont="1" applyFill="1" applyBorder="1" applyAlignment="1">
      <alignment horizontal="center"/>
    </xf>
    <xf numFmtId="0" fontId="15" fillId="11" borderId="6" xfId="0" applyFont="1" applyFill="1" applyBorder="1" applyAlignment="1">
      <alignment horizontal="center"/>
    </xf>
    <xf numFmtId="0" fontId="16" fillId="11" borderId="3" xfId="0" applyFont="1" applyFill="1" applyBorder="1" applyAlignment="1">
      <alignment horizontal="center"/>
    </xf>
    <xf numFmtId="0" fontId="16" fillId="11" borderId="22" xfId="0" applyFont="1" applyFill="1" applyBorder="1" applyAlignment="1">
      <alignment horizontal="center"/>
    </xf>
    <xf numFmtId="0" fontId="16" fillId="11" borderId="39" xfId="0" applyFont="1" applyFill="1" applyBorder="1" applyAlignment="1">
      <alignment horizontal="center"/>
    </xf>
    <xf numFmtId="0" fontId="10" fillId="0" borderId="37" xfId="0" applyFont="1" applyBorder="1" applyAlignment="1"/>
    <xf numFmtId="0" fontId="10" fillId="0" borderId="19" xfId="0" applyFont="1" applyBorder="1" applyAlignment="1"/>
    <xf numFmtId="0" fontId="10" fillId="0" borderId="18" xfId="0" applyFont="1" applyBorder="1" applyAlignment="1"/>
    <xf numFmtId="0" fontId="10" fillId="0" borderId="17" xfId="0" applyFont="1" applyBorder="1" applyAlignment="1"/>
    <xf numFmtId="0" fontId="10" fillId="0" borderId="2" xfId="0" applyFont="1" applyBorder="1" applyAlignment="1"/>
    <xf numFmtId="0" fontId="10" fillId="7" borderId="18" xfId="0" applyFont="1" applyFill="1" applyBorder="1" applyAlignment="1"/>
    <xf numFmtId="0" fontId="10" fillId="0" borderId="17" xfId="0" applyFont="1" applyFill="1" applyBorder="1" applyAlignment="1">
      <alignment horizontal="center"/>
    </xf>
    <xf numFmtId="0" fontId="10" fillId="0" borderId="41" xfId="0" applyFont="1" applyBorder="1" applyAlignment="1">
      <alignment horizontal="center" wrapText="1"/>
    </xf>
    <xf numFmtId="0" fontId="10" fillId="0" borderId="42" xfId="0" applyFont="1" applyBorder="1" applyAlignment="1">
      <alignment horizontal="center" wrapText="1"/>
    </xf>
    <xf numFmtId="0" fontId="10" fillId="0" borderId="21" xfId="0" applyFont="1" applyBorder="1" applyAlignment="1">
      <alignment horizontal="center" wrapText="1"/>
    </xf>
    <xf numFmtId="0" fontId="10" fillId="0" borderId="1" xfId="0" applyFont="1" applyBorder="1" applyAlignment="1"/>
    <xf numFmtId="0" fontId="0" fillId="0" borderId="0" xfId="0" applyAlignment="1">
      <alignment horizontal="right" wrapText="1"/>
    </xf>
    <xf numFmtId="0" fontId="10" fillId="7" borderId="17" xfId="0" applyFont="1" applyFill="1" applyBorder="1" applyAlignment="1"/>
    <xf numFmtId="0" fontId="10" fillId="7" borderId="2" xfId="0" applyFont="1" applyFill="1" applyBorder="1" applyAlignment="1"/>
    <xf numFmtId="0" fontId="10" fillId="0" borderId="40" xfId="0" applyFont="1" applyBorder="1" applyAlignment="1">
      <alignment horizontal="center"/>
    </xf>
    <xf numFmtId="0" fontId="34" fillId="0" borderId="37" xfId="0" applyFont="1" applyFill="1" applyBorder="1" applyAlignment="1">
      <alignment horizontal="left" vertical="center" wrapText="1"/>
    </xf>
    <xf numFmtId="0" fontId="34" fillId="0" borderId="19" xfId="0" applyFont="1" applyFill="1" applyBorder="1" applyAlignment="1">
      <alignment horizontal="left" vertical="center"/>
    </xf>
    <xf numFmtId="0" fontId="34" fillId="0" borderId="18" xfId="0" applyFont="1" applyFill="1" applyBorder="1" applyAlignment="1">
      <alignment horizontal="left" vertical="center"/>
    </xf>
    <xf numFmtId="0" fontId="34" fillId="0" borderId="19" xfId="0" applyFont="1" applyFill="1" applyBorder="1" applyAlignment="1">
      <alignment horizontal="left" vertical="center" wrapText="1"/>
    </xf>
    <xf numFmtId="0" fontId="18" fillId="0" borderId="0" xfId="0" applyFont="1" applyBorder="1" applyAlignment="1">
      <alignment horizontal="right" vertical="top" wrapText="1"/>
    </xf>
    <xf numFmtId="0" fontId="35" fillId="0" borderId="19" xfId="0" applyFont="1" applyBorder="1" applyAlignment="1">
      <alignment horizontal="left" vertical="center"/>
    </xf>
    <xf numFmtId="0" fontId="35" fillId="0" borderId="18" xfId="0" applyFont="1" applyBorder="1" applyAlignment="1">
      <alignment horizontal="left" vertical="center"/>
    </xf>
    <xf numFmtId="0" fontId="17" fillId="0" borderId="28" xfId="0" applyFont="1" applyBorder="1" applyAlignment="1">
      <alignment horizontal="center"/>
    </xf>
    <xf numFmtId="0" fontId="21" fillId="13" borderId="26" xfId="0" applyFont="1" applyFill="1" applyBorder="1" applyAlignment="1">
      <alignment horizontal="center" vertical="center"/>
    </xf>
    <xf numFmtId="0" fontId="21" fillId="13" borderId="42" xfId="0" applyFont="1" applyFill="1" applyBorder="1" applyAlignment="1">
      <alignment horizontal="center" vertical="center"/>
    </xf>
    <xf numFmtId="0" fontId="34" fillId="0" borderId="2" xfId="0" applyFont="1" applyBorder="1" applyAlignment="1">
      <alignment horizontal="left" vertical="center" wrapText="1"/>
    </xf>
    <xf numFmtId="0" fontId="34" fillId="0" borderId="2" xfId="0" applyFont="1" applyBorder="1" applyAlignment="1">
      <alignment horizontal="left" vertical="center"/>
    </xf>
    <xf numFmtId="0" fontId="34" fillId="13" borderId="12" xfId="0" applyFont="1" applyFill="1" applyBorder="1" applyAlignment="1">
      <alignment horizontal="center" vertical="center"/>
    </xf>
    <xf numFmtId="0" fontId="34" fillId="13" borderId="13" xfId="0" applyFont="1" applyFill="1" applyBorder="1" applyAlignment="1">
      <alignment horizontal="center" vertical="center"/>
    </xf>
    <xf numFmtId="0" fontId="35" fillId="0" borderId="37" xfId="0" applyFont="1" applyFill="1" applyBorder="1" applyAlignment="1">
      <alignment horizontal="left" vertical="center" wrapText="1"/>
    </xf>
    <xf numFmtId="0" fontId="35" fillId="0" borderId="19" xfId="0" applyFont="1" applyFill="1" applyBorder="1" applyAlignment="1">
      <alignment horizontal="left" vertical="center"/>
    </xf>
    <xf numFmtId="0" fontId="35" fillId="0" borderId="18" xfId="0" applyFont="1" applyFill="1" applyBorder="1" applyAlignment="1">
      <alignment horizontal="left" vertical="center"/>
    </xf>
    <xf numFmtId="0" fontId="34" fillId="0" borderId="37" xfId="0" applyFont="1" applyBorder="1" applyAlignment="1">
      <alignment horizontal="left" vertical="center" wrapText="1"/>
    </xf>
    <xf numFmtId="0" fontId="34" fillId="0" borderId="19" xfId="0" applyFont="1" applyBorder="1" applyAlignment="1">
      <alignment horizontal="left" vertical="center"/>
    </xf>
    <xf numFmtId="0" fontId="34" fillId="0" borderId="18" xfId="0" applyFont="1" applyBorder="1" applyAlignment="1">
      <alignment horizontal="left" vertical="center"/>
    </xf>
    <xf numFmtId="0" fontId="35" fillId="0" borderId="19" xfId="0" applyFont="1" applyFill="1" applyBorder="1" applyAlignment="1">
      <alignment horizontal="left" vertical="center" wrapText="1"/>
    </xf>
    <xf numFmtId="0" fontId="35" fillId="0" borderId="18" xfId="0" applyFont="1" applyFill="1" applyBorder="1" applyAlignment="1">
      <alignment horizontal="left" vertical="center" wrapText="1"/>
    </xf>
    <xf numFmtId="0" fontId="34" fillId="0" borderId="2" xfId="0" applyFont="1" applyFill="1" applyBorder="1" applyAlignment="1">
      <alignment horizontal="left" vertical="center"/>
    </xf>
    <xf numFmtId="0" fontId="34" fillId="0" borderId="1" xfId="0" applyFont="1" applyFill="1" applyBorder="1" applyAlignment="1">
      <alignment horizontal="left" vertical="center"/>
    </xf>
    <xf numFmtId="0" fontId="34" fillId="0" borderId="8" xfId="0" applyFont="1" applyFill="1" applyBorder="1" applyAlignment="1">
      <alignment horizontal="left" vertical="center"/>
    </xf>
    <xf numFmtId="0" fontId="34" fillId="0" borderId="14" xfId="0" applyFont="1" applyBorder="1" applyAlignment="1">
      <alignment horizontal="left" vertical="center"/>
    </xf>
    <xf numFmtId="0" fontId="34" fillId="0" borderId="8" xfId="0" applyFont="1" applyBorder="1" applyAlignment="1">
      <alignment horizontal="left" vertical="center"/>
    </xf>
    <xf numFmtId="0" fontId="35" fillId="0" borderId="37" xfId="0" applyFont="1" applyBorder="1" applyAlignment="1">
      <alignment horizontal="left" vertical="center"/>
    </xf>
    <xf numFmtId="0" fontId="34" fillId="0" borderId="14" xfId="0" applyFont="1" applyFill="1" applyBorder="1" applyAlignment="1">
      <alignment horizontal="left" vertical="center" wrapText="1"/>
    </xf>
    <xf numFmtId="0" fontId="34" fillId="0" borderId="17" xfId="0" applyFont="1" applyFill="1" applyBorder="1" applyAlignment="1">
      <alignment horizontal="left" vertical="center"/>
    </xf>
    <xf numFmtId="0" fontId="34" fillId="0" borderId="19" xfId="0" applyFont="1" applyBorder="1" applyAlignment="1">
      <alignment horizontal="left" vertical="center" wrapText="1"/>
    </xf>
    <xf numFmtId="0" fontId="34" fillId="0" borderId="1" xfId="0" applyFont="1" applyBorder="1" applyAlignment="1">
      <alignment horizontal="left" vertical="center"/>
    </xf>
    <xf numFmtId="0" fontId="34" fillId="0" borderId="17" xfId="0" applyFont="1" applyBorder="1" applyAlignment="1">
      <alignment horizontal="left" vertical="center"/>
    </xf>
    <xf numFmtId="0" fontId="42" fillId="0" borderId="2" xfId="0" applyFont="1" applyFill="1" applyBorder="1" applyAlignment="1">
      <alignment horizontal="left" vertical="center" wrapText="1"/>
    </xf>
    <xf numFmtId="0" fontId="42" fillId="0" borderId="2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34" fillId="13" borderId="30" xfId="0" applyFont="1" applyFill="1" applyBorder="1" applyAlignment="1">
      <alignment horizontal="center" vertical="center"/>
    </xf>
    <xf numFmtId="0" fontId="34" fillId="13" borderId="10" xfId="0" applyFont="1" applyFill="1" applyBorder="1" applyAlignment="1">
      <alignment horizontal="center" vertical="center"/>
    </xf>
    <xf numFmtId="0" fontId="34" fillId="0" borderId="37" xfId="0" applyFont="1" applyFill="1" applyBorder="1" applyAlignment="1">
      <alignment horizontal="left" vertical="center"/>
    </xf>
    <xf numFmtId="0" fontId="34" fillId="0" borderId="37" xfId="0" applyFont="1" applyBorder="1" applyAlignment="1">
      <alignment horizontal="left" vertical="center"/>
    </xf>
    <xf numFmtId="0" fontId="34" fillId="0" borderId="18" xfId="0" applyFont="1" applyBorder="1" applyAlignment="1">
      <alignment horizontal="left" vertical="center" wrapText="1"/>
    </xf>
    <xf numFmtId="0" fontId="34" fillId="0" borderId="18" xfId="0" applyFont="1" applyFill="1" applyBorder="1" applyAlignment="1">
      <alignment horizontal="left" vertical="center" wrapText="1"/>
    </xf>
    <xf numFmtId="0" fontId="40" fillId="0" borderId="48" xfId="0" applyFont="1" applyFill="1" applyBorder="1" applyAlignment="1">
      <alignment horizontal="left" vertical="center"/>
    </xf>
    <xf numFmtId="0" fontId="40" fillId="0" borderId="54" xfId="0" applyFont="1" applyFill="1" applyBorder="1" applyAlignment="1">
      <alignment horizontal="left" vertical="center"/>
    </xf>
    <xf numFmtId="0" fontId="34" fillId="0" borderId="12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0" fontId="35" fillId="0" borderId="19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center" wrapText="1"/>
    </xf>
    <xf numFmtId="0" fontId="21" fillId="13" borderId="50" xfId="0" applyFont="1" applyFill="1" applyBorder="1" applyAlignment="1">
      <alignment horizontal="center" vertical="center"/>
    </xf>
    <xf numFmtId="0" fontId="21" fillId="13" borderId="28" xfId="0" applyFont="1" applyFill="1" applyBorder="1" applyAlignment="1">
      <alignment horizontal="center" vertical="center"/>
    </xf>
    <xf numFmtId="0" fontId="21" fillId="13" borderId="0" xfId="0" applyFont="1" applyFill="1" applyBorder="1" applyAlignment="1">
      <alignment horizontal="center" vertical="center"/>
    </xf>
    <xf numFmtId="0" fontId="34" fillId="0" borderId="40" xfId="0" applyFont="1" applyBorder="1" applyAlignment="1">
      <alignment horizontal="left" vertical="center"/>
    </xf>
    <xf numFmtId="0" fontId="32" fillId="15" borderId="22" xfId="0" applyFont="1" applyFill="1" applyBorder="1" applyAlignment="1">
      <alignment horizontal="center" wrapText="1"/>
    </xf>
    <xf numFmtId="0" fontId="32" fillId="15" borderId="10" xfId="0" applyFont="1" applyFill="1" applyBorder="1" applyAlignment="1">
      <alignment horizontal="center" wrapText="1"/>
    </xf>
    <xf numFmtId="0" fontId="32" fillId="15" borderId="0" xfId="0" applyFont="1" applyFill="1" applyBorder="1" applyAlignment="1">
      <alignment horizontal="center" wrapText="1"/>
    </xf>
    <xf numFmtId="0" fontId="32" fillId="15" borderId="23" xfId="0" applyFont="1" applyFill="1" applyBorder="1" applyAlignment="1">
      <alignment horizontal="center" vertical="center" wrapText="1"/>
    </xf>
    <xf numFmtId="0" fontId="32" fillId="15" borderId="22" xfId="0" applyFont="1" applyFill="1" applyBorder="1" applyAlignment="1">
      <alignment horizontal="center" vertical="center"/>
    </xf>
    <xf numFmtId="0" fontId="32" fillId="15" borderId="38" xfId="0" applyFont="1" applyFill="1" applyBorder="1" applyAlignment="1">
      <alignment horizontal="center" vertical="center"/>
    </xf>
    <xf numFmtId="0" fontId="39" fillId="15" borderId="22" xfId="0" applyFont="1" applyFill="1" applyBorder="1" applyAlignment="1">
      <alignment horizontal="center" wrapText="1"/>
    </xf>
    <xf numFmtId="0" fontId="39" fillId="15" borderId="38" xfId="0" applyFont="1" applyFill="1" applyBorder="1" applyAlignment="1">
      <alignment horizontal="center" wrapText="1"/>
    </xf>
    <xf numFmtId="0" fontId="19" fillId="15" borderId="0" xfId="0" applyFont="1" applyFill="1" applyBorder="1" applyAlignment="1">
      <alignment horizontal="center" vertical="center"/>
    </xf>
    <xf numFmtId="0" fontId="41" fillId="15" borderId="0" xfId="0" applyFont="1" applyFill="1" applyBorder="1" applyAlignment="1">
      <alignment horizontal="center" vertical="center" wrapText="1"/>
    </xf>
    <xf numFmtId="0" fontId="19" fillId="15" borderId="0" xfId="0" applyFont="1" applyFill="1" applyBorder="1" applyAlignment="1">
      <alignment horizontal="center" vertical="center" wrapText="1"/>
    </xf>
    <xf numFmtId="0" fontId="18" fillId="15" borderId="0" xfId="0" applyFont="1" applyFill="1" applyBorder="1" applyAlignment="1">
      <alignment horizontal="center" wrapText="1"/>
    </xf>
    <xf numFmtId="0" fontId="32" fillId="15" borderId="15" xfId="0" applyFont="1" applyFill="1" applyBorder="1" applyAlignment="1">
      <alignment horizontal="center" vertical="center" wrapText="1"/>
    </xf>
    <xf numFmtId="1" fontId="32" fillId="14" borderId="33" xfId="0" applyNumberFormat="1" applyFont="1" applyFill="1" applyBorder="1" applyAlignment="1">
      <alignment horizontal="right" wrapText="1"/>
    </xf>
    <xf numFmtId="1" fontId="32" fillId="14" borderId="32" xfId="0" applyNumberFormat="1" applyFont="1" applyFill="1" applyBorder="1" applyAlignment="1">
      <alignment horizontal="right" wrapText="1"/>
    </xf>
    <xf numFmtId="1" fontId="32" fillId="14" borderId="34" xfId="0" applyNumberFormat="1" applyFont="1" applyFill="1" applyBorder="1" applyAlignment="1">
      <alignment horizontal="right" wrapText="1"/>
    </xf>
    <xf numFmtId="1" fontId="37" fillId="14" borderId="32" xfId="0" applyNumberFormat="1" applyFont="1" applyFill="1" applyBorder="1" applyAlignment="1">
      <alignment horizontal="right" wrapText="1"/>
    </xf>
    <xf numFmtId="1" fontId="37" fillId="14" borderId="29" xfId="0" applyNumberFormat="1" applyFont="1" applyFill="1" applyBorder="1" applyAlignment="1">
      <alignment horizontal="right" wrapText="1"/>
    </xf>
    <xf numFmtId="1" fontId="37" fillId="14" borderId="27" xfId="0" applyNumberFormat="1" applyFont="1" applyFill="1" applyBorder="1" applyAlignment="1">
      <alignment horizontal="right" wrapText="1"/>
    </xf>
    <xf numFmtId="1" fontId="37" fillId="14" borderId="34" xfId="0" applyNumberFormat="1" applyFont="1" applyFill="1" applyBorder="1" applyAlignment="1">
      <alignment horizontal="right" wrapText="1"/>
    </xf>
    <xf numFmtId="1" fontId="32" fillId="14" borderId="32" xfId="2" applyNumberFormat="1" applyFont="1" applyFill="1" applyBorder="1" applyAlignment="1">
      <alignment horizontal="right" wrapText="1"/>
    </xf>
    <xf numFmtId="1" fontId="32" fillId="14" borderId="29" xfId="2" applyNumberFormat="1" applyFont="1" applyFill="1" applyBorder="1" applyAlignment="1">
      <alignment horizontal="right" vertical="center" wrapText="1"/>
    </xf>
    <xf numFmtId="1" fontId="32" fillId="14" borderId="27" xfId="2" applyNumberFormat="1" applyFont="1" applyFill="1" applyBorder="1" applyAlignment="1">
      <alignment horizontal="right" vertical="center" wrapText="1"/>
    </xf>
    <xf numFmtId="1" fontId="37" fillId="14" borderId="35" xfId="0" applyNumberFormat="1" applyFont="1" applyFill="1" applyBorder="1" applyAlignment="1">
      <alignment horizontal="right" wrapText="1"/>
    </xf>
    <xf numFmtId="1" fontId="32" fillId="14" borderId="27" xfId="0" applyNumberFormat="1" applyFont="1" applyFill="1" applyBorder="1" applyAlignment="1">
      <alignment horizontal="right" wrapText="1"/>
    </xf>
    <xf numFmtId="1" fontId="32" fillId="14" borderId="34" xfId="2" applyNumberFormat="1" applyFont="1" applyFill="1" applyBorder="1" applyAlignment="1">
      <alignment horizontal="right" wrapText="1"/>
    </xf>
    <xf numFmtId="1" fontId="32" fillId="14" borderId="32" xfId="0" applyNumberFormat="1" applyFont="1" applyFill="1" applyBorder="1" applyAlignment="1">
      <alignment horizontal="right" vertical="center" wrapText="1"/>
    </xf>
    <xf numFmtId="1" fontId="32" fillId="14" borderId="36" xfId="0" applyNumberFormat="1" applyFont="1" applyFill="1" applyBorder="1" applyAlignment="1">
      <alignment horizontal="right" wrapText="1"/>
    </xf>
    <xf numFmtId="1" fontId="32" fillId="14" borderId="29" xfId="0" applyNumberFormat="1" applyFont="1" applyFill="1" applyBorder="1" applyAlignment="1">
      <alignment horizontal="right" wrapText="1"/>
    </xf>
    <xf numFmtId="1" fontId="32" fillId="14" borderId="35" xfId="0" applyNumberFormat="1" applyFont="1" applyFill="1" applyBorder="1" applyAlignment="1">
      <alignment horizontal="right" wrapText="1"/>
    </xf>
    <xf numFmtId="1" fontId="32" fillId="14" borderId="35" xfId="0" applyNumberFormat="1" applyFont="1" applyFill="1" applyBorder="1" applyAlignment="1">
      <alignment horizontal="right" vertical="center" wrapText="1"/>
    </xf>
    <xf numFmtId="1" fontId="32" fillId="14" borderId="27" xfId="0" applyNumberFormat="1" applyFont="1" applyFill="1" applyBorder="1" applyAlignment="1">
      <alignment horizontal="right" vertical="center" wrapText="1"/>
    </xf>
    <xf numFmtId="1" fontId="32" fillId="14" borderId="49" xfId="0" applyNumberFormat="1" applyFont="1" applyFill="1" applyBorder="1" applyAlignment="1">
      <alignment horizontal="right" vertical="center" wrapText="1"/>
    </xf>
    <xf numFmtId="1" fontId="32" fillId="14" borderId="34" xfId="0" applyNumberFormat="1" applyFont="1" applyFill="1" applyBorder="1" applyAlignment="1">
      <alignment horizontal="right" vertical="center" wrapText="1"/>
    </xf>
    <xf numFmtId="1" fontId="32" fillId="14" borderId="29" xfId="0" applyNumberFormat="1" applyFont="1" applyFill="1" applyBorder="1" applyAlignment="1">
      <alignment horizontal="right" vertical="center" wrapText="1"/>
    </xf>
    <xf numFmtId="0" fontId="19" fillId="14" borderId="31" xfId="0" applyFont="1" applyFill="1" applyBorder="1" applyAlignment="1">
      <alignment horizontal="center" vertical="center" wrapText="1"/>
    </xf>
    <xf numFmtId="168" fontId="32" fillId="14" borderId="68" xfId="2" applyNumberFormat="1" applyFont="1" applyFill="1" applyBorder="1" applyAlignment="1">
      <alignment horizontal="right" wrapText="1"/>
    </xf>
    <xf numFmtId="168" fontId="32" fillId="14" borderId="32" xfId="2" applyNumberFormat="1" applyFont="1" applyFill="1" applyBorder="1" applyAlignment="1">
      <alignment horizontal="right" wrapText="1"/>
    </xf>
    <xf numFmtId="168" fontId="32" fillId="14" borderId="27" xfId="2" applyNumberFormat="1" applyFont="1" applyFill="1" applyBorder="1" applyAlignment="1">
      <alignment horizontal="right" wrapText="1"/>
    </xf>
    <xf numFmtId="168" fontId="32" fillId="14" borderId="29" xfId="2" applyNumberFormat="1" applyFont="1" applyFill="1" applyBorder="1" applyAlignment="1">
      <alignment horizontal="right" vertical="center" wrapText="1"/>
    </xf>
    <xf numFmtId="168" fontId="32" fillId="14" borderId="34" xfId="2" applyNumberFormat="1" applyFont="1" applyFill="1" applyBorder="1" applyAlignment="1">
      <alignment horizontal="right" wrapText="1"/>
    </xf>
    <xf numFmtId="168" fontId="37" fillId="14" borderId="32" xfId="2" applyNumberFormat="1" applyFont="1" applyFill="1" applyBorder="1" applyAlignment="1">
      <alignment horizontal="right" wrapText="1"/>
    </xf>
    <xf numFmtId="168" fontId="37" fillId="14" borderId="29" xfId="2" applyNumberFormat="1" applyFont="1" applyFill="1" applyBorder="1" applyAlignment="1">
      <alignment horizontal="right" vertical="center" wrapText="1"/>
    </xf>
    <xf numFmtId="168" fontId="37" fillId="14" borderId="34" xfId="2" applyNumberFormat="1" applyFont="1" applyFill="1" applyBorder="1" applyAlignment="1">
      <alignment horizontal="right" wrapText="1"/>
    </xf>
    <xf numFmtId="168" fontId="37" fillId="14" borderId="29" xfId="2" applyNumberFormat="1" applyFont="1" applyFill="1" applyBorder="1" applyAlignment="1">
      <alignment horizontal="right" wrapText="1"/>
    </xf>
    <xf numFmtId="168" fontId="32" fillId="14" borderId="29" xfId="2" applyNumberFormat="1" applyFont="1" applyFill="1" applyBorder="1" applyAlignment="1">
      <alignment horizontal="right" wrapText="1"/>
    </xf>
    <xf numFmtId="168" fontId="37" fillId="14" borderId="33" xfId="2" applyNumberFormat="1" applyFont="1" applyFill="1" applyBorder="1" applyAlignment="1">
      <alignment horizontal="right" wrapText="1"/>
    </xf>
    <xf numFmtId="168" fontId="37" fillId="14" borderId="32" xfId="2" applyNumberFormat="1" applyFont="1" applyFill="1" applyBorder="1" applyAlignment="1">
      <alignment horizontal="right" vertical="center" wrapText="1"/>
    </xf>
    <xf numFmtId="1" fontId="32" fillId="14" borderId="32" xfId="0" applyNumberFormat="1" applyFont="1" applyFill="1" applyBorder="1"/>
    <xf numFmtId="1" fontId="32" fillId="14" borderId="29" xfId="0" applyNumberFormat="1" applyFont="1" applyFill="1" applyBorder="1"/>
    <xf numFmtId="1" fontId="32" fillId="14" borderId="27" xfId="0" applyNumberFormat="1" applyFont="1" applyFill="1" applyBorder="1"/>
    <xf numFmtId="1" fontId="37" fillId="14" borderId="32" xfId="0" applyNumberFormat="1" applyFont="1" applyFill="1" applyBorder="1"/>
    <xf numFmtId="1" fontId="37" fillId="14" borderId="29" xfId="0" applyNumberFormat="1" applyFont="1" applyFill="1" applyBorder="1"/>
    <xf numFmtId="1" fontId="37" fillId="14" borderId="34" xfId="0" applyNumberFormat="1" applyFont="1" applyFill="1" applyBorder="1"/>
    <xf numFmtId="1" fontId="32" fillId="14" borderId="36" xfId="0" applyNumberFormat="1" applyFont="1" applyFill="1" applyBorder="1"/>
    <xf numFmtId="1" fontId="32" fillId="12" borderId="32" xfId="0" applyNumberFormat="1" applyFont="1" applyFill="1" applyBorder="1" applyAlignment="1">
      <alignment horizontal="right" wrapText="1"/>
    </xf>
    <xf numFmtId="1" fontId="32" fillId="12" borderId="34" xfId="0" applyNumberFormat="1" applyFont="1" applyFill="1" applyBorder="1" applyAlignment="1">
      <alignment horizontal="right" wrapText="1"/>
    </xf>
    <xf numFmtId="1" fontId="37" fillId="12" borderId="32" xfId="0" applyNumberFormat="1" applyFont="1" applyFill="1" applyBorder="1" applyAlignment="1">
      <alignment horizontal="right" wrapText="1"/>
    </xf>
    <xf numFmtId="1" fontId="37" fillId="12" borderId="29" xfId="0" applyNumberFormat="1" applyFont="1" applyFill="1" applyBorder="1" applyAlignment="1">
      <alignment horizontal="right" wrapText="1"/>
    </xf>
    <xf numFmtId="1" fontId="37" fillId="12" borderId="27" xfId="0" applyNumberFormat="1" applyFont="1" applyFill="1" applyBorder="1" applyAlignment="1">
      <alignment horizontal="right" wrapText="1"/>
    </xf>
    <xf numFmtId="1" fontId="37" fillId="12" borderId="34" xfId="0" applyNumberFormat="1" applyFont="1" applyFill="1" applyBorder="1" applyAlignment="1">
      <alignment horizontal="right" wrapText="1"/>
    </xf>
    <xf numFmtId="1" fontId="32" fillId="12" borderId="32" xfId="2" applyNumberFormat="1" applyFont="1" applyFill="1" applyBorder="1" applyAlignment="1">
      <alignment horizontal="right" wrapText="1"/>
    </xf>
    <xf numFmtId="1" fontId="32" fillId="12" borderId="29" xfId="2" applyNumberFormat="1" applyFont="1" applyFill="1" applyBorder="1" applyAlignment="1">
      <alignment horizontal="right" vertical="center" wrapText="1"/>
    </xf>
    <xf numFmtId="1" fontId="37" fillId="12" borderId="35" xfId="0" applyNumberFormat="1" applyFont="1" applyFill="1" applyBorder="1" applyAlignment="1">
      <alignment horizontal="right" wrapText="1"/>
    </xf>
    <xf numFmtId="1" fontId="32" fillId="12" borderId="27" xfId="0" applyNumberFormat="1" applyFont="1" applyFill="1" applyBorder="1" applyAlignment="1">
      <alignment horizontal="right" wrapText="1"/>
    </xf>
    <xf numFmtId="1" fontId="32" fillId="12" borderId="34" xfId="2" applyNumberFormat="1" applyFont="1" applyFill="1" applyBorder="1" applyAlignment="1">
      <alignment horizontal="right" wrapText="1"/>
    </xf>
    <xf numFmtId="1" fontId="32" fillId="12" borderId="32" xfId="0" applyNumberFormat="1" applyFont="1" applyFill="1" applyBorder="1" applyAlignment="1">
      <alignment horizontal="right" vertical="center" wrapText="1"/>
    </xf>
    <xf numFmtId="1" fontId="32" fillId="12" borderId="36" xfId="0" applyNumberFormat="1" applyFont="1" applyFill="1" applyBorder="1" applyAlignment="1">
      <alignment horizontal="right" wrapText="1"/>
    </xf>
    <xf numFmtId="1" fontId="32" fillId="12" borderId="29" xfId="0" applyNumberFormat="1" applyFont="1" applyFill="1" applyBorder="1" applyAlignment="1">
      <alignment horizontal="right" wrapText="1"/>
    </xf>
    <xf numFmtId="1" fontId="32" fillId="12" borderId="35" xfId="0" applyNumberFormat="1" applyFont="1" applyFill="1" applyBorder="1" applyAlignment="1">
      <alignment horizontal="right" wrapText="1"/>
    </xf>
    <xf numFmtId="1" fontId="32" fillId="12" borderId="33" xfId="0" applyNumberFormat="1" applyFont="1" applyFill="1" applyBorder="1" applyAlignment="1">
      <alignment horizontal="right" wrapText="1"/>
    </xf>
    <xf numFmtId="1" fontId="32" fillId="12" borderId="35" xfId="0" applyNumberFormat="1" applyFont="1" applyFill="1" applyBorder="1" applyAlignment="1">
      <alignment horizontal="right" vertical="center" wrapText="1"/>
    </xf>
    <xf numFmtId="1" fontId="32" fillId="12" borderId="27" xfId="0" applyNumberFormat="1" applyFont="1" applyFill="1" applyBorder="1" applyAlignment="1">
      <alignment horizontal="right" vertical="center" wrapText="1"/>
    </xf>
    <xf numFmtId="1" fontId="32" fillId="12" borderId="49" xfId="0" applyNumberFormat="1" applyFont="1" applyFill="1" applyBorder="1" applyAlignment="1">
      <alignment horizontal="right" vertical="center" wrapText="1"/>
    </xf>
    <xf numFmtId="1" fontId="32" fillId="12" borderId="34" xfId="0" applyNumberFormat="1" applyFont="1" applyFill="1" applyBorder="1" applyAlignment="1">
      <alignment horizontal="right" vertical="center" wrapText="1"/>
    </xf>
    <xf numFmtId="1" fontId="32" fillId="12" borderId="29" xfId="0" applyNumberFormat="1" applyFont="1" applyFill="1" applyBorder="1" applyAlignment="1">
      <alignment horizontal="right" vertical="center" wrapText="1"/>
    </xf>
    <xf numFmtId="1" fontId="32" fillId="12" borderId="27" xfId="2" applyNumberFormat="1" applyFont="1" applyFill="1" applyBorder="1" applyAlignment="1">
      <alignment horizontal="right" vertical="center" wrapText="1"/>
    </xf>
    <xf numFmtId="168" fontId="32" fillId="12" borderId="32" xfId="2" applyNumberFormat="1" applyFont="1" applyFill="1" applyBorder="1" applyAlignment="1">
      <alignment horizontal="right" wrapText="1"/>
    </xf>
    <xf numFmtId="168" fontId="32" fillId="12" borderId="27" xfId="2" applyNumberFormat="1" applyFont="1" applyFill="1" applyBorder="1" applyAlignment="1">
      <alignment horizontal="right" wrapText="1"/>
    </xf>
    <xf numFmtId="168" fontId="32" fillId="12" borderId="29" xfId="2" applyNumberFormat="1" applyFont="1" applyFill="1" applyBorder="1" applyAlignment="1">
      <alignment horizontal="right" vertical="center" wrapText="1"/>
    </xf>
    <xf numFmtId="168" fontId="32" fillId="12" borderId="34" xfId="2" applyNumberFormat="1" applyFont="1" applyFill="1" applyBorder="1" applyAlignment="1">
      <alignment horizontal="right" wrapText="1"/>
    </xf>
    <xf numFmtId="168" fontId="37" fillId="12" borderId="32" xfId="2" applyNumberFormat="1" applyFont="1" applyFill="1" applyBorder="1" applyAlignment="1">
      <alignment horizontal="right" wrapText="1"/>
    </xf>
    <xf numFmtId="168" fontId="37" fillId="12" borderId="29" xfId="2" applyNumberFormat="1" applyFont="1" applyFill="1" applyBorder="1" applyAlignment="1">
      <alignment horizontal="right" vertical="center" wrapText="1"/>
    </xf>
    <xf numFmtId="168" fontId="37" fillId="12" borderId="34" xfId="2" applyNumberFormat="1" applyFont="1" applyFill="1" applyBorder="1" applyAlignment="1">
      <alignment horizontal="right" wrapText="1"/>
    </xf>
    <xf numFmtId="168" fontId="37" fillId="12" borderId="29" xfId="2" applyNumberFormat="1" applyFont="1" applyFill="1" applyBorder="1" applyAlignment="1">
      <alignment horizontal="right" wrapText="1"/>
    </xf>
    <xf numFmtId="168" fontId="32" fillId="12" borderId="29" xfId="2" applyNumberFormat="1" applyFont="1" applyFill="1" applyBorder="1" applyAlignment="1">
      <alignment horizontal="right" wrapText="1"/>
    </xf>
    <xf numFmtId="168" fontId="37" fillId="12" borderId="33" xfId="2" applyNumberFormat="1" applyFont="1" applyFill="1" applyBorder="1" applyAlignment="1">
      <alignment horizontal="right" wrapText="1"/>
    </xf>
    <xf numFmtId="168" fontId="37" fillId="12" borderId="32" xfId="2" applyNumberFormat="1" applyFont="1" applyFill="1" applyBorder="1" applyAlignment="1">
      <alignment horizontal="right" vertic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137"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bottom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5" formatCode="#,##0_р_."/>
      <fill>
        <patternFill patternType="none">
          <fgColor indexed="64"/>
          <bgColor indexed="65"/>
        </patternFill>
      </fill>
      <alignment horizontal="right" vertical="bottom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rgb="FFFF0000"/>
        <name val="Arial"/>
        <scheme val="none"/>
      </font>
      <numFmt numFmtId="165" formatCode="#,##0_р_.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_р_.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_р_.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_р_.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5" formatCode="#,##0_р_."/>
      <fill>
        <patternFill patternType="none">
          <fgColor indexed="64"/>
          <bgColor indexed="65"/>
        </patternFill>
      </fill>
      <alignment horizontal="right" vertical="bottom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rgb="FFFF0000"/>
        <name val="Arial"/>
        <scheme val="none"/>
      </font>
      <numFmt numFmtId="165" formatCode="#,##0_р_.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_р_.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_р_.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_р_.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5" formatCode="#,##0_р_."/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0"/>
        <color rgb="FF00B050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4" formatCode="#,##0.00&quot;р.&quot;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4" formatCode="#,##0.00&quot;р.&quot;"/>
      <fill>
        <patternFill patternType="solid">
          <fgColor indexed="64"/>
          <bgColor rgb="FFFFFF0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rgb="FFFF0000"/>
        <name val="Arial"/>
        <scheme val="none"/>
      </font>
      <numFmt numFmtId="165" formatCode="#,##0_р_.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_р_.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_р_.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_р_.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4" formatCode="#,##0.00&quot;р.&quot;"/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0"/>
        <name val="Arial"/>
        <scheme val="none"/>
      </font>
      <numFmt numFmtId="164" formatCode="#,##0.00&quot;р.&quot;"/>
      <fill>
        <patternFill patternType="solid">
          <fgColor indexed="64"/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name val="Arial"/>
        <scheme val="none"/>
      </font>
      <numFmt numFmtId="164" formatCode="#,##0.00&quot;р.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_р_."/>
      <fill>
        <patternFill patternType="solid">
          <fgColor indexed="64"/>
          <bgColor rgb="FF0070C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_р_."/>
      <fill>
        <patternFill patternType="solid">
          <fgColor indexed="64"/>
          <bgColor rgb="FF0070C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_р_."/>
      <fill>
        <patternFill patternType="solid">
          <fgColor indexed="64"/>
          <bgColor rgb="FF0070C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rgb="FF0070C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rgb="FF00B05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5" formatCode="#,##0_р_."/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0"/>
        <color rgb="FF00B050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4" formatCode="#,##0.00&quot;р.&quot;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4" formatCode="#,##0.00&quot;р.&quot;"/>
      <fill>
        <patternFill patternType="solid">
          <fgColor indexed="64"/>
          <bgColor rgb="FFFFFF0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rgb="FFFF0000"/>
        <name val="Arial"/>
        <scheme val="none"/>
      </font>
      <numFmt numFmtId="165" formatCode="#,##0_р_.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_р_.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_р_.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_р_.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0&quot;р.&quot;"/>
      <fill>
        <patternFill patternType="solid">
          <fgColor indexed="64"/>
          <bgColor rgb="FFFF0000"/>
        </patternFill>
      </fill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4" formatCode="#,##0.00&quot;р.&quot;"/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0"/>
        <name val="Arial"/>
        <scheme val="none"/>
      </font>
      <numFmt numFmtId="164" formatCode="#,##0.00&quot;р.&quot;"/>
      <fill>
        <patternFill patternType="solid">
          <fgColor indexed="64"/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name val="Arial"/>
        <scheme val="none"/>
      </font>
      <numFmt numFmtId="164" formatCode="#,##0.00&quot;р.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_р_."/>
      <fill>
        <patternFill patternType="solid">
          <fgColor indexed="64"/>
          <bgColor rgb="FF0070C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_р_."/>
      <fill>
        <patternFill patternType="solid">
          <fgColor indexed="64"/>
          <bgColor rgb="FF0070C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_р_."/>
      <fill>
        <patternFill patternType="solid">
          <fgColor indexed="64"/>
          <bgColor rgb="FF0070C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rgb="FF0070C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rgb="FF00B05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strike val="0"/>
        <outline val="0"/>
        <shadow val="0"/>
        <u val="none"/>
        <vertAlign val="baseline"/>
        <sz val="10"/>
        <color rgb="FF00B050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4" formatCode="#,##0.00&quot;р.&quot;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4" formatCode="#,##0.00&quot;р.&quot;"/>
      <fill>
        <patternFill patternType="solid">
          <fgColor indexed="64"/>
          <bgColor rgb="FFFFFF0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rgb="FFFF0000"/>
        <name val="Arial"/>
        <scheme val="none"/>
      </font>
      <numFmt numFmtId="165" formatCode="#,##0_р_.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_р_.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_р_.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_р_.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0&quot;р.&quot;"/>
      <fill>
        <patternFill patternType="solid">
          <fgColor indexed="64"/>
          <bgColor rgb="FFFF0000"/>
        </patternFill>
      </fill>
      <border outline="0">
        <right style="thin">
          <color indexed="64"/>
        </right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4" formatCode="#,##0.00&quot;р.&quot;"/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0"/>
        <name val="Arial"/>
        <scheme val="none"/>
      </font>
      <numFmt numFmtId="164" formatCode="#,##0.00&quot;р.&quot;"/>
      <fill>
        <patternFill patternType="solid">
          <fgColor indexed="64"/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name val="Arial"/>
        <scheme val="none"/>
      </font>
      <numFmt numFmtId="164" formatCode="#,##0.00&quot;р.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_р_."/>
      <fill>
        <patternFill patternType="solid">
          <fgColor indexed="64"/>
          <bgColor rgb="FF0070C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_р_."/>
      <fill>
        <patternFill patternType="solid">
          <fgColor indexed="64"/>
          <bgColor rgb="FF0070C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_р_."/>
      <fill>
        <patternFill patternType="solid">
          <fgColor indexed="64"/>
          <bgColor rgb="FF0070C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rgb="FF0070C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rgb="FF00B05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strike val="0"/>
        <outline val="0"/>
        <shadow val="0"/>
        <u val="none"/>
        <vertAlign val="baseline"/>
        <sz val="10"/>
        <color rgb="FF00B050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4" formatCode="#,##0.00&quot;р.&quot;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4" formatCode="#,##0.00&quot;р.&quot;"/>
      <fill>
        <patternFill patternType="solid">
          <fgColor indexed="64"/>
          <bgColor rgb="FFFFFF0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numFmt numFmtId="164" formatCode="#,##0.00&quot;р.&quot;"/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0&quot;р.&quot;"/>
      <fill>
        <patternFill patternType="solid">
          <fgColor indexed="64"/>
          <bgColor rgb="FF0070C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0&quot;р.&quot;"/>
      <fill>
        <patternFill patternType="solid">
          <fgColor indexed="64"/>
          <bgColor rgb="FF0070C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0&quot;р.&quot;"/>
      <fill>
        <patternFill patternType="solid">
          <fgColor indexed="64"/>
          <bgColor rgb="FF0070C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.00&quot;р.&quot;"/>
      <fill>
        <patternFill patternType="solid">
          <fgColor indexed="64"/>
          <bgColor rgb="FFFF0000"/>
        </patternFill>
      </fill>
    </dxf>
    <dxf>
      <font>
        <strike val="0"/>
        <outline val="0"/>
        <shadow val="0"/>
        <u val="none"/>
        <vertAlign val="baseline"/>
        <sz val="10"/>
        <name val="Arial"/>
        <scheme val="none"/>
      </font>
      <numFmt numFmtId="164" formatCode="#,##0.00&quot;р.&quot;"/>
      <fill>
        <patternFill patternType="none">
          <fgColor indexed="64"/>
          <bgColor indexed="65"/>
        </patternFill>
      </fill>
    </dxf>
    <dxf>
      <font>
        <b/>
        <strike val="0"/>
        <outline val="0"/>
        <shadow val="0"/>
        <u val="none"/>
        <vertAlign val="baseline"/>
        <sz val="10"/>
        <name val="Arial"/>
        <scheme val="none"/>
      </font>
      <numFmt numFmtId="164" formatCode="#,##0.00&quot;р.&quot;"/>
      <fill>
        <patternFill patternType="solid">
          <fgColor indexed="64"/>
          <bgColor rgb="FFFFFF0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name val="Arial"/>
        <scheme val="none"/>
      </font>
      <numFmt numFmtId="164" formatCode="#,##0.00&quot;р.&quot;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_р_."/>
      <fill>
        <patternFill patternType="solid">
          <fgColor indexed="64"/>
          <bgColor rgb="FF0070C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_р_."/>
      <fill>
        <patternFill patternType="solid">
          <fgColor indexed="64"/>
          <bgColor rgb="FF0070C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#,##0_р_."/>
      <fill>
        <patternFill patternType="solid">
          <fgColor indexed="64"/>
          <bgColor rgb="FF0070C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rgb="FF0070C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solid">
          <fgColor indexed="64"/>
          <bgColor rgb="FF00B05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solid">
          <fgColor indexed="64"/>
          <bgColor theme="5" tint="0.5999938962981048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eg"/><Relationship Id="rId7" Type="http://schemas.openxmlformats.org/officeDocument/2006/relationships/image" Target="../media/image11.png"/><Relationship Id="rId2" Type="http://schemas.openxmlformats.org/officeDocument/2006/relationships/image" Target="../media/image1.jpeg"/><Relationship Id="rId1" Type="http://schemas.openxmlformats.org/officeDocument/2006/relationships/image" Target="../media/image6.jpeg"/><Relationship Id="rId6" Type="http://schemas.openxmlformats.org/officeDocument/2006/relationships/image" Target="../media/image10.jpeg"/><Relationship Id="rId5" Type="http://schemas.openxmlformats.org/officeDocument/2006/relationships/image" Target="../media/image9.jpeg"/><Relationship Id="rId4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85725</xdr:rowOff>
    </xdr:from>
    <xdr:to>
      <xdr:col>1</xdr:col>
      <xdr:colOff>1428750</xdr:colOff>
      <xdr:row>0</xdr:row>
      <xdr:rowOff>914400</xdr:rowOff>
    </xdr:to>
    <xdr:pic>
      <xdr:nvPicPr>
        <xdr:cNvPr id="33895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5725"/>
          <a:ext cx="220027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85725</xdr:rowOff>
    </xdr:from>
    <xdr:to>
      <xdr:col>1</xdr:col>
      <xdr:colOff>1447800</xdr:colOff>
      <xdr:row>1</xdr:row>
      <xdr:rowOff>0</xdr:rowOff>
    </xdr:to>
    <xdr:pic>
      <xdr:nvPicPr>
        <xdr:cNvPr id="18201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5725"/>
          <a:ext cx="221932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66675</xdr:rowOff>
    </xdr:from>
    <xdr:to>
      <xdr:col>1</xdr:col>
      <xdr:colOff>1714500</xdr:colOff>
      <xdr:row>0</xdr:row>
      <xdr:rowOff>1085850</xdr:rowOff>
    </xdr:to>
    <xdr:pic>
      <xdr:nvPicPr>
        <xdr:cNvPr id="20133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6675"/>
          <a:ext cx="254317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47625</xdr:rowOff>
    </xdr:from>
    <xdr:to>
      <xdr:col>1</xdr:col>
      <xdr:colOff>2609850</xdr:colOff>
      <xdr:row>0</xdr:row>
      <xdr:rowOff>1066800</xdr:rowOff>
    </xdr:to>
    <xdr:pic>
      <xdr:nvPicPr>
        <xdr:cNvPr id="21095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47625"/>
          <a:ext cx="230505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38100</xdr:rowOff>
    </xdr:from>
    <xdr:to>
      <xdr:col>1</xdr:col>
      <xdr:colOff>1752600</xdr:colOff>
      <xdr:row>0</xdr:row>
      <xdr:rowOff>962025</xdr:rowOff>
    </xdr:to>
    <xdr:pic>
      <xdr:nvPicPr>
        <xdr:cNvPr id="22054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8100"/>
          <a:ext cx="236220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314325</xdr:colOff>
      <xdr:row>0</xdr:row>
      <xdr:rowOff>38100</xdr:rowOff>
    </xdr:from>
    <xdr:to>
      <xdr:col>1</xdr:col>
      <xdr:colOff>1857375</xdr:colOff>
      <xdr:row>1</xdr:row>
      <xdr:rowOff>0</xdr:rowOff>
    </xdr:to>
    <xdr:pic>
      <xdr:nvPicPr>
        <xdr:cNvPr id="24087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8100"/>
          <a:ext cx="250507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866775</xdr:colOff>
      <xdr:row>0</xdr:row>
      <xdr:rowOff>9525</xdr:rowOff>
    </xdr:from>
    <xdr:to>
      <xdr:col>1</xdr:col>
      <xdr:colOff>2867025</xdr:colOff>
      <xdr:row>0</xdr:row>
      <xdr:rowOff>1266825</xdr:rowOff>
    </xdr:to>
    <xdr:pic>
      <xdr:nvPicPr>
        <xdr:cNvPr id="35640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" y="9525"/>
          <a:ext cx="2962275" cy="1257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914400</xdr:colOff>
      <xdr:row>4</xdr:row>
      <xdr:rowOff>9525</xdr:rowOff>
    </xdr:from>
    <xdr:to>
      <xdr:col>3</xdr:col>
      <xdr:colOff>1123950</xdr:colOff>
      <xdr:row>5</xdr:row>
      <xdr:rowOff>0</xdr:rowOff>
    </xdr:to>
    <xdr:pic>
      <xdr:nvPicPr>
        <xdr:cNvPr id="35641" name="Рисунок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193" t="9822" r="64639" b="60715"/>
        <a:stretch>
          <a:fillRect/>
        </a:stretch>
      </xdr:blipFill>
      <xdr:spPr bwMode="auto">
        <a:xfrm>
          <a:off x="6238875" y="2886075"/>
          <a:ext cx="2095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904875</xdr:colOff>
      <xdr:row>29</xdr:row>
      <xdr:rowOff>19050</xdr:rowOff>
    </xdr:from>
    <xdr:to>
      <xdr:col>3</xdr:col>
      <xdr:colOff>1133475</xdr:colOff>
      <xdr:row>30</xdr:row>
      <xdr:rowOff>0</xdr:rowOff>
    </xdr:to>
    <xdr:pic>
      <xdr:nvPicPr>
        <xdr:cNvPr id="35642" name="Рисунок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193" t="9822" r="64639" b="60715"/>
        <a:stretch>
          <a:fillRect/>
        </a:stretch>
      </xdr:blipFill>
      <xdr:spPr bwMode="auto">
        <a:xfrm>
          <a:off x="6229350" y="7324725"/>
          <a:ext cx="2286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904875</xdr:colOff>
      <xdr:row>168</xdr:row>
      <xdr:rowOff>9525</xdr:rowOff>
    </xdr:from>
    <xdr:to>
      <xdr:col>3</xdr:col>
      <xdr:colOff>1114425</xdr:colOff>
      <xdr:row>169</xdr:row>
      <xdr:rowOff>0</xdr:rowOff>
    </xdr:to>
    <xdr:pic>
      <xdr:nvPicPr>
        <xdr:cNvPr id="35643" name="Рисунок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193" t="9822" r="64639" b="60715"/>
        <a:stretch>
          <a:fillRect/>
        </a:stretch>
      </xdr:blipFill>
      <xdr:spPr bwMode="auto">
        <a:xfrm>
          <a:off x="6229350" y="27546300"/>
          <a:ext cx="2095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952500</xdr:colOff>
      <xdr:row>214</xdr:row>
      <xdr:rowOff>9525</xdr:rowOff>
    </xdr:from>
    <xdr:to>
      <xdr:col>4</xdr:col>
      <xdr:colOff>9525</xdr:colOff>
      <xdr:row>214</xdr:row>
      <xdr:rowOff>228600</xdr:rowOff>
    </xdr:to>
    <xdr:pic>
      <xdr:nvPicPr>
        <xdr:cNvPr id="35644" name="Рисунок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193" t="9822" r="64639" b="60715"/>
        <a:stretch>
          <a:fillRect/>
        </a:stretch>
      </xdr:blipFill>
      <xdr:spPr bwMode="auto">
        <a:xfrm>
          <a:off x="6276975" y="35518725"/>
          <a:ext cx="2095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243</xdr:row>
      <xdr:rowOff>28575</xdr:rowOff>
    </xdr:from>
    <xdr:to>
      <xdr:col>0</xdr:col>
      <xdr:colOff>933450</xdr:colOff>
      <xdr:row>243</xdr:row>
      <xdr:rowOff>819150</xdr:rowOff>
    </xdr:to>
    <xdr:pic>
      <xdr:nvPicPr>
        <xdr:cNvPr id="35645" name="Рисунок 6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193" t="9822" r="64639" b="62070"/>
        <a:stretch>
          <a:fillRect/>
        </a:stretch>
      </xdr:blipFill>
      <xdr:spPr bwMode="auto">
        <a:xfrm>
          <a:off x="133350" y="40386000"/>
          <a:ext cx="8001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66675</xdr:colOff>
      <xdr:row>243</xdr:row>
      <xdr:rowOff>47625</xdr:rowOff>
    </xdr:from>
    <xdr:to>
      <xdr:col>8</xdr:col>
      <xdr:colOff>419100</xdr:colOff>
      <xdr:row>243</xdr:row>
      <xdr:rowOff>504825</xdr:rowOff>
    </xdr:to>
    <xdr:pic>
      <xdr:nvPicPr>
        <xdr:cNvPr id="35646" name="Рисунок 2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1575" y="40405050"/>
          <a:ext cx="35242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514350</xdr:colOff>
      <xdr:row>243</xdr:row>
      <xdr:rowOff>161925</xdr:rowOff>
    </xdr:from>
    <xdr:to>
      <xdr:col>9</xdr:col>
      <xdr:colOff>304800</xdr:colOff>
      <xdr:row>243</xdr:row>
      <xdr:rowOff>628650</xdr:rowOff>
    </xdr:to>
    <xdr:pic>
      <xdr:nvPicPr>
        <xdr:cNvPr id="35647" name="Рисунок 3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39250" y="40519350"/>
          <a:ext cx="3429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36857</xdr:colOff>
      <xdr:row>0</xdr:row>
      <xdr:rowOff>20293</xdr:rowOff>
    </xdr:from>
    <xdr:to>
      <xdr:col>0</xdr:col>
      <xdr:colOff>1347166</xdr:colOff>
      <xdr:row>2</xdr:row>
      <xdr:rowOff>271256</xdr:rowOff>
    </xdr:to>
    <xdr:pic>
      <xdr:nvPicPr>
        <xdr:cNvPr id="36411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57" y="20293"/>
          <a:ext cx="13144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914400</xdr:colOff>
      <xdr:row>3</xdr:row>
      <xdr:rowOff>9525</xdr:rowOff>
    </xdr:from>
    <xdr:to>
      <xdr:col>5</xdr:col>
      <xdr:colOff>914400</xdr:colOff>
      <xdr:row>3</xdr:row>
      <xdr:rowOff>228600</xdr:rowOff>
    </xdr:to>
    <xdr:pic>
      <xdr:nvPicPr>
        <xdr:cNvPr id="36412" name="Рисунок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193" t="9822" r="64639" b="60715"/>
        <a:stretch>
          <a:fillRect/>
        </a:stretch>
      </xdr:blipFill>
      <xdr:spPr bwMode="auto">
        <a:xfrm>
          <a:off x="6629400" y="1704975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904875</xdr:colOff>
      <xdr:row>43</xdr:row>
      <xdr:rowOff>19050</xdr:rowOff>
    </xdr:from>
    <xdr:to>
      <xdr:col>5</xdr:col>
      <xdr:colOff>904875</xdr:colOff>
      <xdr:row>43</xdr:row>
      <xdr:rowOff>228600</xdr:rowOff>
    </xdr:to>
    <xdr:pic>
      <xdr:nvPicPr>
        <xdr:cNvPr id="36413" name="Рисунок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193" t="9822" r="64639" b="60715"/>
        <a:stretch>
          <a:fillRect/>
        </a:stretch>
      </xdr:blipFill>
      <xdr:spPr bwMode="auto">
        <a:xfrm>
          <a:off x="6619875" y="7715250"/>
          <a:ext cx="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904875</xdr:colOff>
      <xdr:row>240</xdr:row>
      <xdr:rowOff>9525</xdr:rowOff>
    </xdr:from>
    <xdr:to>
      <xdr:col>5</xdr:col>
      <xdr:colOff>904875</xdr:colOff>
      <xdr:row>240</xdr:row>
      <xdr:rowOff>228600</xdr:rowOff>
    </xdr:to>
    <xdr:pic>
      <xdr:nvPicPr>
        <xdr:cNvPr id="36414" name="Рисунок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193" t="9822" r="64639" b="60715"/>
        <a:stretch>
          <a:fillRect/>
        </a:stretch>
      </xdr:blipFill>
      <xdr:spPr bwMode="auto">
        <a:xfrm>
          <a:off x="6619875" y="26403300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432547</xdr:colOff>
      <xdr:row>308</xdr:row>
      <xdr:rowOff>62193</xdr:rowOff>
    </xdr:from>
    <xdr:to>
      <xdr:col>0</xdr:col>
      <xdr:colOff>784972</xdr:colOff>
      <xdr:row>308</xdr:row>
      <xdr:rowOff>416859</xdr:rowOff>
    </xdr:to>
    <xdr:pic>
      <xdr:nvPicPr>
        <xdr:cNvPr id="4005" name="Рисунок 14239" descr="http://td21vek.ru/netcat_files/1567_5018.jp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519" t="6570" r="16789" b="6569"/>
        <a:stretch>
          <a:fillRect/>
        </a:stretch>
      </xdr:blipFill>
      <xdr:spPr bwMode="auto">
        <a:xfrm>
          <a:off x="432547" y="48594869"/>
          <a:ext cx="352425" cy="3546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338978</xdr:colOff>
      <xdr:row>309</xdr:row>
      <xdr:rowOff>73399</xdr:rowOff>
    </xdr:from>
    <xdr:to>
      <xdr:col>0</xdr:col>
      <xdr:colOff>900953</xdr:colOff>
      <xdr:row>309</xdr:row>
      <xdr:rowOff>389965</xdr:rowOff>
    </xdr:to>
    <xdr:pic>
      <xdr:nvPicPr>
        <xdr:cNvPr id="4006" name="Рисунок 14240" descr="http://td21vek.ru/netcat_files/1567_5019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75" t="12917" r="5469" b="20000"/>
        <a:stretch>
          <a:fillRect/>
        </a:stretch>
      </xdr:blipFill>
      <xdr:spPr bwMode="auto">
        <a:xfrm>
          <a:off x="338978" y="49110340"/>
          <a:ext cx="561975" cy="3165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406213</xdr:colOff>
      <xdr:row>310</xdr:row>
      <xdr:rowOff>116541</xdr:rowOff>
    </xdr:from>
    <xdr:to>
      <xdr:col>0</xdr:col>
      <xdr:colOff>891988</xdr:colOff>
      <xdr:row>310</xdr:row>
      <xdr:rowOff>475129</xdr:rowOff>
    </xdr:to>
    <xdr:pic>
      <xdr:nvPicPr>
        <xdr:cNvPr id="4007" name="Рисунок 14242" descr="http://td21vek.ru/netcat_files/1567_5021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213" y="49657747"/>
          <a:ext cx="485775" cy="358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242047</xdr:colOff>
      <xdr:row>307</xdr:row>
      <xdr:rowOff>77881</xdr:rowOff>
    </xdr:from>
    <xdr:to>
      <xdr:col>0</xdr:col>
      <xdr:colOff>918322</xdr:colOff>
      <xdr:row>307</xdr:row>
      <xdr:rowOff>489697</xdr:rowOff>
    </xdr:to>
    <xdr:pic>
      <xdr:nvPicPr>
        <xdr:cNvPr id="4008" name="Рисунок 14243" descr="Светильник LED Liana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047" y="48106293"/>
          <a:ext cx="676275" cy="4118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179294</xdr:colOff>
      <xdr:row>306</xdr:row>
      <xdr:rowOff>122705</xdr:rowOff>
    </xdr:from>
    <xdr:to>
      <xdr:col>0</xdr:col>
      <xdr:colOff>646019</xdr:colOff>
      <xdr:row>306</xdr:row>
      <xdr:rowOff>467846</xdr:rowOff>
    </xdr:to>
    <xdr:pic>
      <xdr:nvPicPr>
        <xdr:cNvPr id="4009" name="Рисунок 14244" descr="https://www.svetcom.ru/wa-data/public/shop/products/78/48/4878/images/8134/8134.970x0.pn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294" y="47646852"/>
          <a:ext cx="466725" cy="3451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802902</xdr:colOff>
      <xdr:row>306</xdr:row>
      <xdr:rowOff>47625</xdr:rowOff>
    </xdr:from>
    <xdr:to>
      <xdr:col>0</xdr:col>
      <xdr:colOff>1231527</xdr:colOff>
      <xdr:row>306</xdr:row>
      <xdr:rowOff>478491</xdr:rowOff>
    </xdr:to>
    <xdr:pic>
      <xdr:nvPicPr>
        <xdr:cNvPr id="4010" name="Рисунок 14245" descr="Светильник LED Fialis 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902" y="47571772"/>
          <a:ext cx="428625" cy="4308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Таблица1" displayName="Таблица1" ref="B3:X270" totalsRowShown="0" headerRowDxfId="136" dataDxfId="134" headerRowBorderDxfId="135" tableBorderDxfId="133">
  <tableColumns count="23">
    <tableColumn id="2" name="NAMEIZDELIYA" dataDxfId="132"/>
    <tableColumn id="3" name="размер" dataDxfId="131"/>
    <tableColumn id="16" name="Комплектующие (раковины)" dataDxfId="130"/>
    <tableColumn id="4" name="Вес брутто" dataDxfId="129"/>
    <tableColumn id="5" name="обьем, м3" dataDxfId="128"/>
    <tableColumn id="6" name="кол на палетте" dataDxfId="127"/>
    <tableColumn id="7" name="KOLVONP" dataDxfId="126"/>
    <tableColumn id="13" name="Всего вес, гк." dataDxfId="125"/>
    <tableColumn id="14" name="Всего V, м3" dataDxfId="124"/>
    <tableColumn id="29" name="Цена розница (руб.)" dataDxfId="123">
      <calculatedColumnFormula>N4*1.5</calculatedColumnFormula>
    </tableColumn>
    <tableColumn id="34" name="Цена ОПТ 1     (от 150 тыс. до 500 тыс.руб)" dataDxfId="122">
      <calculatedColumnFormula>N4*1.1</calculatedColumnFormula>
    </tableColumn>
    <tableColumn id="31" name="Цена ОПТ 2(до 150 тыс. руб)" dataDxfId="121">
      <calculatedColumnFormula>N4*1.05</calculatedColumnFormula>
    </tableColumn>
    <tableColumn id="17" name="Цена ОПТ 3 (от 500 тыс.руб)" dataDxfId="120"/>
    <tableColumn id="18" name="Оптовая  цена без раковин" dataDxfId="119"/>
    <tableColumn id="19" name="Цена раковин" dataDxfId="118">
      <calculatedColumnFormula>N4-O4</calculatedColumnFormula>
    </tableColumn>
    <tableColumn id="35" name="c 1 /01/2015" dataDxfId="117"/>
    <tableColumn id="36" name="Цена розница (руб.)2" dataDxfId="116">
      <calculatedColumnFormula>U4*1.5</calculatedColumnFormula>
    </tableColumn>
    <tableColumn id="37" name="Цена ОПТ 1     (от 150 тыс. до 500 тыс.руб)3" dataDxfId="115">
      <calculatedColumnFormula>U4*1.1</calculatedColumnFormula>
    </tableColumn>
    <tableColumn id="38" name="Цена ОПТ 2(до 150 тыс. руб)4" dataDxfId="114">
      <calculatedColumnFormula>U4*1.05</calculatedColumnFormula>
    </tableColumn>
    <tableColumn id="21" name="Цена ОПТ 3 (от 500 тыс.руб)5" dataDxfId="113">
      <calculatedColumnFormula>N4*1.1</calculatedColumnFormula>
    </tableColumn>
    <tableColumn id="22" name="Оптовая  цена без раковин+10%" dataDxfId="112">
      <calculatedColumnFormula>O4*1.1</calculatedColumnFormula>
    </tableColumn>
    <tableColumn id="23" name="цена раковины рассч." dataDxfId="111">
      <calculatedColumnFormula>U4-V4</calculatedColumnFormula>
    </tableColumn>
    <tableColumn id="24" name="цена раковины фактич." dataDxfId="110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43" name="Таблица144" displayName="Таблица144" ref="B3:X190" totalsRowShown="0" headerRowDxfId="109" dataDxfId="107" headerRowBorderDxfId="108" tableBorderDxfId="106">
  <tableColumns count="23">
    <tableColumn id="2" name="NAMEIZDELIYA" dataDxfId="105"/>
    <tableColumn id="3" name="размер" dataDxfId="104"/>
    <tableColumn id="16" name="Комплектующие (раковины)" dataDxfId="103"/>
    <tableColumn id="4" name="Вес брутто" dataDxfId="102"/>
    <tableColumn id="5" name="обьем, м3" dataDxfId="101"/>
    <tableColumn id="6" name="кол на палетте" dataDxfId="100"/>
    <tableColumn id="7" name="KOLVONP" dataDxfId="99"/>
    <tableColumn id="13" name="Всего вес, гк." dataDxfId="98"/>
    <tableColumn id="14" name="Всего V, м3" dataDxfId="97"/>
    <tableColumn id="29" name="Цена розница (руб.)" dataDxfId="96">
      <calculatedColumnFormula>N4*1.5</calculatedColumnFormula>
    </tableColumn>
    <tableColumn id="34" name="Цена ОПТ 1     (от 150 тыс. до 500 тыс.руб)" dataDxfId="95">
      <calculatedColumnFormula>N4*1.1</calculatedColumnFormula>
    </tableColumn>
    <tableColumn id="31" name="Цена ОПТ 2(до 150 тыс. руб)" dataDxfId="94">
      <calculatedColumnFormula>N4*1.05</calculatedColumnFormula>
    </tableColumn>
    <tableColumn id="17" name="Цена ОПТ 3 (от 500 тыс.руб)" dataDxfId="93"/>
    <tableColumn id="18" name="Оптовая  цена без раковин" dataDxfId="92"/>
    <tableColumn id="19" name="Цена раковин" dataDxfId="91">
      <calculatedColumnFormula>N4-O4</calculatedColumnFormula>
    </tableColumn>
    <tableColumn id="35" name="c 1 /01/2015" dataDxfId="90"/>
    <tableColumn id="36" name="Цена розница (Руб.) " dataDxfId="89"/>
    <tableColumn id="37" name="Цена ОПТ 1 (до 150 тыс. Руб.)" dataDxfId="88"/>
    <tableColumn id="38" name="Цена ОПТ 2    (от 150 тыс. до 500 тыс.Руб) " dataDxfId="87"/>
    <tableColumn id="21" name="Цена ОПТ 3 (от 500 тыс.Руб) " dataDxfId="86"/>
    <tableColumn id="22" name="Оптовая  цена без раковин+10%" dataDxfId="85">
      <calculatedColumnFormula>O4*1.1</calculatedColumnFormula>
    </tableColumn>
    <tableColumn id="23" name="цена раковины рассч." dataDxfId="84">
      <calculatedColumnFormula>U4-V4</calculatedColumnFormula>
    </tableColumn>
    <tableColumn id="24" name="цена раковины фактич." dataDxfId="83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64" name="Таблица14465" displayName="Таблица14465" ref="B3:Z190" totalsRowShown="0" headerRowDxfId="82" dataDxfId="80" headerRowBorderDxfId="81" tableBorderDxfId="79">
  <autoFilter ref="B3:Z190">
    <filterColumn colId="24">
      <customFilters and="1">
        <customFilter operator="greaterThan" val="0"/>
      </customFilters>
    </filterColumn>
  </autoFilter>
  <tableColumns count="25">
    <tableColumn id="2" name="NAMEIZDELIYA" dataDxfId="78"/>
    <tableColumn id="3" name="размер" dataDxfId="77"/>
    <tableColumn id="16" name="Комплектующие (раковины)" dataDxfId="76"/>
    <tableColumn id="4" name="Вес брутто" dataDxfId="75"/>
    <tableColumn id="5" name="обьем, м3" dataDxfId="74"/>
    <tableColumn id="6" name="кол на палетте" dataDxfId="73"/>
    <tableColumn id="7" name="KOLVONP" dataDxfId="72"/>
    <tableColumn id="13" name="Всего вес, гк." dataDxfId="71"/>
    <tableColumn id="14" name="Всего V, м3" dataDxfId="70"/>
    <tableColumn id="29" name="Цена розница (руб.)" dataDxfId="69">
      <calculatedColumnFormula>N4*1.5</calculatedColumnFormula>
    </tableColumn>
    <tableColumn id="34" name="Цена ОПТ 1     (от 150 тыс. до 500 тыс.руб)" dataDxfId="68">
      <calculatedColumnFormula>N4*1.1</calculatedColumnFormula>
    </tableColumn>
    <tableColumn id="31" name="Цена ОПТ 2(до 150 тыс. руб)" dataDxfId="67">
      <calculatedColumnFormula>N4*1.05</calculatedColumnFormula>
    </tableColumn>
    <tableColumn id="17" name="Цена ОПТ 3 (от 500 тыс.руб)" dataDxfId="66"/>
    <tableColumn id="18" name="Оптовая  цена без раковин" dataDxfId="65"/>
    <tableColumn id="19" name="Цена раковин" dataDxfId="64">
      <calculatedColumnFormula>N4-O4</calculatedColumnFormula>
    </tableColumn>
    <tableColumn id="35" name="c 1 /01/2015" dataDxfId="63"/>
    <tableColumn id="36" name="Цена розница (Руб.) " dataDxfId="62"/>
    <tableColumn id="37" name="Цена ОПТ 1 (до 150 тыс. Руб.)" dataDxfId="61"/>
    <tableColumn id="38" name="Цена ОПТ 2    (от 150 тыс. до 500 тыс.Руб) " dataDxfId="60"/>
    <tableColumn id="21" name="Цена ОПТ 3 (от 500 тыс.Руб) " dataDxfId="59"/>
    <tableColumn id="22" name="Оптовая  цена без раковин+10%" dataDxfId="58">
      <calculatedColumnFormula>O4*1.1</calculatedColumnFormula>
    </tableColumn>
    <tableColumn id="23" name="цена раковины рассч." dataDxfId="57">
      <calculatedColumnFormula>U4-V4</calculatedColumnFormula>
    </tableColumn>
    <tableColumn id="24" name="цена раковины фактич." dataDxfId="56"/>
    <tableColumn id="41" name="Цена тумбы" dataDxfId="55"/>
    <tableColumn id="42" name="Цена раковины" dataDxfId="54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id="71" name="Таблица1446572" displayName="Таблица1446572" ref="B3:Y192" totalsRowShown="0" headerRowDxfId="53" dataDxfId="51" headerRowBorderDxfId="52" tableBorderDxfId="50">
  <autoFilter ref="B3:Y192"/>
  <tableColumns count="24">
    <tableColumn id="2" name="NAMEIZDELIYA" dataDxfId="49"/>
    <tableColumn id="3" name="размер" dataDxfId="48"/>
    <tableColumn id="16" name="Комплектующие (раковины)" dataDxfId="47"/>
    <tableColumn id="4" name="Вес брутто" dataDxfId="46"/>
    <tableColumn id="5" name="обьем, м3" dataDxfId="45"/>
    <tableColumn id="6" name="кол на палетте" dataDxfId="44"/>
    <tableColumn id="7" name="KOLVONP" dataDxfId="43"/>
    <tableColumn id="13" name="Всего вес, гк." dataDxfId="42"/>
    <tableColumn id="14" name="Всего V, м3" dataDxfId="41"/>
    <tableColumn id="29" name="Цена розница (руб.)" dataDxfId="40">
      <calculatedColumnFormula>N4*1.5</calculatedColumnFormula>
    </tableColumn>
    <tableColumn id="34" name="Цена ОПТ 1     (от 150 тыс. до 500 тыс.руб)" dataDxfId="39">
      <calculatedColumnFormula>N4*1.1</calculatedColumnFormula>
    </tableColumn>
    <tableColumn id="31" name="Цена ОПТ 2(до 150 тыс. руб)" dataDxfId="38">
      <calculatedColumnFormula>N4*1.05</calculatedColumnFormula>
    </tableColumn>
    <tableColumn id="17" name="Цена ОПТ 3 (от 500 тыс.руб)" dataDxfId="37"/>
    <tableColumn id="18" name="Оптовая  цена без раковин" dataDxfId="36"/>
    <tableColumn id="19" name="Цена раковин" dataDxfId="35">
      <calculatedColumnFormula>N4-O4</calculatedColumnFormula>
    </tableColumn>
    <tableColumn id="36" name="Цена розница (Руб.) " dataDxfId="34"/>
    <tableColumn id="37" name="Цена ОПТ 1 (до 150 тыс. Руб.)" dataDxfId="33"/>
    <tableColumn id="38" name="Цена ОПТ 2    (от 150 тыс. до 500 тыс.Руб) " dataDxfId="32"/>
    <tableColumn id="21" name="Цена ОПТ 3 (от 500 тыс.Руб) " dataDxfId="31"/>
    <tableColumn id="22" name="Оптовая  цена без раковин+10%" dataDxfId="30">
      <calculatedColumnFormula>O4*1.1</calculatedColumnFormula>
    </tableColumn>
    <tableColumn id="23" name="цена раковины рассч." dataDxfId="29">
      <calculatedColumnFormula>T4-U4</calculatedColumnFormula>
    </tableColumn>
    <tableColumn id="24" name="цена раковины фактич." dataDxfId="28"/>
    <tableColumn id="41" name="Цена тумбы" dataDxfId="27"/>
    <tableColumn id="42" name="Цена раковины" dataDxfId="26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id="116" name="Таблица1446572117" displayName="Таблица1446572117" ref="B3:J192" totalsRowShown="0" headerRowDxfId="25" dataDxfId="23" headerRowBorderDxfId="24" tableBorderDxfId="22">
  <autoFilter ref="B3:J192"/>
  <tableColumns count="9">
    <tableColumn id="2" name="NAMEIZDELIYA" dataDxfId="21"/>
    <tableColumn id="3" name="размер" dataDxfId="20"/>
    <tableColumn id="16" name="Комплектующие (раковины)" dataDxfId="19"/>
    <tableColumn id="36" name="Цена розница (Руб.) " dataDxfId="18"/>
    <tableColumn id="37" name="Цена ОПТ 1 (до 150 тыс. Руб.)" dataDxfId="17"/>
    <tableColumn id="38" name="Цена ОПТ 2    (от 150 тыс. до 500 тыс.Руб) " dataDxfId="16"/>
    <tableColumn id="21" name="Цена ОПТ 3 (от 500 тыс.Руб) " dataDxfId="15"/>
    <tableColumn id="41" name="Цена тумбы" dataDxfId="14"/>
    <tableColumn id="42" name="Цена раковины" dataDxfId="13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129" name="Таблица1446572117128130" displayName="Таблица1446572117128130" ref="B4:J218" totalsRowShown="0" headerRowDxfId="12" dataDxfId="10" headerRowBorderDxfId="11" tableBorderDxfId="9">
  <autoFilter ref="B4:J218"/>
  <tableColumns count="9">
    <tableColumn id="2" name="NAMEIZDELIYA" dataDxfId="8"/>
    <tableColumn id="3" name="размер" dataDxfId="7"/>
    <tableColumn id="16" name="Комплектующие (раковины)" dataDxfId="6"/>
    <tableColumn id="36" name="      РРЦ *(Руб.) " dataDxfId="5"/>
    <tableColumn id="37" name="Цена ОПТ 1 (до 150 тыс. Руб.)" dataDxfId="4"/>
    <tableColumn id="38" name="Цена ОПТ 2    (от 150 тыс. до 500 тыс.Руб) " dataDxfId="3"/>
    <tableColumn id="21" name="Цена ОПТ 3 (от 500 тыс.Руб) " dataDxfId="2"/>
    <tableColumn id="41" name="Цена тумбы опт." dataDxfId="1"/>
    <tableColumn id="42" name="Цена раковины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3.xml"/><Relationship Id="rId4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286"/>
  <sheetViews>
    <sheetView workbookViewId="0">
      <pane ySplit="2" topLeftCell="A3" activePane="bottomLeft" state="frozen"/>
      <selection pane="bottomLeft" activeCell="R1" sqref="R1:Z65536"/>
    </sheetView>
  </sheetViews>
  <sheetFormatPr defaultRowHeight="15.75" x14ac:dyDescent="0.25"/>
  <cols>
    <col min="1" max="1" width="13.85546875" style="53" customWidth="1"/>
    <col min="2" max="2" width="35.85546875" style="15" customWidth="1"/>
    <col min="3" max="3" width="13.5703125" style="19" customWidth="1"/>
    <col min="4" max="4" width="14.5703125" style="19" hidden="1" customWidth="1"/>
    <col min="5" max="5" width="5.42578125" style="15" hidden="1" customWidth="1"/>
    <col min="6" max="6" width="4.42578125" style="15" hidden="1" customWidth="1"/>
    <col min="7" max="7" width="4.85546875" style="15" hidden="1" customWidth="1"/>
    <col min="8" max="8" width="6.42578125" style="6" hidden="1" customWidth="1"/>
    <col min="9" max="9" width="5.85546875" style="20" hidden="1" customWidth="1"/>
    <col min="10" max="10" width="6.7109375" style="20" hidden="1" customWidth="1"/>
    <col min="11" max="12" width="10.140625" style="96" customWidth="1"/>
    <col min="13" max="13" width="9.140625" style="96" customWidth="1"/>
    <col min="14" max="14" width="10.5703125" style="58" customWidth="1"/>
    <col min="15" max="15" width="10.85546875" style="58" bestFit="1" customWidth="1"/>
    <col min="16" max="16" width="11.42578125" style="58" customWidth="1"/>
    <col min="17" max="17" width="3.28515625" style="99" customWidth="1"/>
    <col min="18" max="20" width="11.42578125" style="58" hidden="1" customWidth="1"/>
    <col min="21" max="21" width="12" style="71" hidden="1" customWidth="1"/>
    <col min="22" max="22" width="10.7109375" style="15" hidden="1" customWidth="1"/>
    <col min="23" max="23" width="11.85546875" style="15" hidden="1" customWidth="1"/>
    <col min="24" max="24" width="9.140625" style="87" hidden="1" customWidth="1"/>
    <col min="25" max="26" width="0" style="15" hidden="1" customWidth="1"/>
    <col min="27" max="16384" width="9.140625" style="15"/>
  </cols>
  <sheetData>
    <row r="1" spans="1:24" ht="87" customHeight="1" x14ac:dyDescent="0.25">
      <c r="A1" s="712"/>
      <c r="B1" s="712"/>
      <c r="C1" s="712"/>
      <c r="D1" s="712"/>
      <c r="E1" s="712"/>
      <c r="F1" s="712"/>
      <c r="G1" s="712"/>
      <c r="H1" s="712"/>
      <c r="I1" s="712"/>
      <c r="J1" s="712"/>
      <c r="K1" s="712"/>
      <c r="L1" s="712"/>
      <c r="M1" s="712"/>
      <c r="N1" s="712"/>
      <c r="O1" s="712"/>
      <c r="U1" s="70">
        <v>0.1</v>
      </c>
      <c r="W1" s="15" t="s">
        <v>444</v>
      </c>
    </row>
    <row r="2" spans="1:24" ht="26.25" customHeight="1" x14ac:dyDescent="0.25">
      <c r="A2" s="53" t="s">
        <v>439</v>
      </c>
      <c r="B2" s="66">
        <f>DATE(2014,12,16)</f>
        <v>41989</v>
      </c>
      <c r="C2" s="57"/>
      <c r="D2" s="57"/>
      <c r="E2" s="57"/>
      <c r="F2" s="57"/>
      <c r="G2" s="57"/>
      <c r="H2" s="57"/>
      <c r="I2" s="57"/>
      <c r="J2" s="57"/>
      <c r="K2" s="91"/>
      <c r="L2" s="91"/>
      <c r="M2" s="91"/>
      <c r="N2" s="57"/>
      <c r="O2" s="57"/>
      <c r="R2" s="66">
        <f>DATE(2015,1,1)</f>
        <v>42005</v>
      </c>
      <c r="W2" s="15" t="s">
        <v>445</v>
      </c>
    </row>
    <row r="3" spans="1:24" ht="73.5" customHeight="1" x14ac:dyDescent="0.25">
      <c r="A3" s="54" t="s">
        <v>133</v>
      </c>
      <c r="B3" s="21" t="s">
        <v>16</v>
      </c>
      <c r="C3" s="17" t="s">
        <v>43</v>
      </c>
      <c r="D3" s="33" t="s">
        <v>298</v>
      </c>
      <c r="E3" s="22" t="s">
        <v>18</v>
      </c>
      <c r="F3" s="23" t="s">
        <v>19</v>
      </c>
      <c r="G3" s="23" t="s">
        <v>20</v>
      </c>
      <c r="H3" s="12" t="s">
        <v>17</v>
      </c>
      <c r="I3" s="24" t="s">
        <v>45</v>
      </c>
      <c r="J3" s="25" t="s">
        <v>46</v>
      </c>
      <c r="K3" s="92" t="s">
        <v>451</v>
      </c>
      <c r="L3" s="92" t="s">
        <v>452</v>
      </c>
      <c r="M3" s="92" t="s">
        <v>453</v>
      </c>
      <c r="N3" s="59" t="s">
        <v>454</v>
      </c>
      <c r="O3" s="59" t="s">
        <v>438</v>
      </c>
      <c r="P3" s="60" t="s">
        <v>368</v>
      </c>
      <c r="Q3" s="100" t="s">
        <v>455</v>
      </c>
      <c r="R3" s="92" t="s">
        <v>456</v>
      </c>
      <c r="S3" s="92" t="s">
        <v>457</v>
      </c>
      <c r="T3" s="92" t="s">
        <v>458</v>
      </c>
      <c r="U3" s="59" t="s">
        <v>459</v>
      </c>
      <c r="V3" s="74" t="s">
        <v>440</v>
      </c>
      <c r="W3" s="78" t="s">
        <v>441</v>
      </c>
      <c r="X3" s="88" t="s">
        <v>442</v>
      </c>
    </row>
    <row r="4" spans="1:24" s="26" customFormat="1" ht="12.75" x14ac:dyDescent="0.2">
      <c r="A4" s="713" t="s">
        <v>150</v>
      </c>
      <c r="B4" s="48" t="s">
        <v>21</v>
      </c>
      <c r="C4" s="49" t="s">
        <v>12</v>
      </c>
      <c r="D4" s="49"/>
      <c r="E4" s="5">
        <v>11</v>
      </c>
      <c r="F4" s="5">
        <v>0.09</v>
      </c>
      <c r="G4" s="5">
        <v>20</v>
      </c>
      <c r="H4" s="50">
        <v>0</v>
      </c>
      <c r="I4" s="5">
        <f>H4*E4</f>
        <v>0</v>
      </c>
      <c r="J4" s="51">
        <f>F4*H4</f>
        <v>0</v>
      </c>
      <c r="K4" s="93">
        <f t="shared" ref="K4:K67" si="0">N4*1.5</f>
        <v>3750</v>
      </c>
      <c r="L4" s="93">
        <f t="shared" ref="L4:L67" si="1">N4*1.1</f>
        <v>2750</v>
      </c>
      <c r="M4" s="93">
        <f t="shared" ref="M4:M67" si="2">N4*1.05</f>
        <v>2625</v>
      </c>
      <c r="N4" s="67">
        <v>2500</v>
      </c>
      <c r="O4" s="69"/>
      <c r="P4" s="62">
        <f t="shared" ref="P4:P64" si="3">N4-O4</f>
        <v>2500</v>
      </c>
      <c r="Q4" s="99"/>
      <c r="R4" s="105">
        <f t="shared" ref="R4:R67" si="4">U4*1.5</f>
        <v>4125</v>
      </c>
      <c r="S4" s="105">
        <f t="shared" ref="S4:S67" si="5">U4*1.1</f>
        <v>3025.0000000000005</v>
      </c>
      <c r="T4" s="105">
        <f t="shared" ref="T4:T67" si="6">U4*1.05</f>
        <v>2887.5</v>
      </c>
      <c r="U4" s="75">
        <f t="shared" ref="U4:U67" si="7">N4*1.1</f>
        <v>2750</v>
      </c>
      <c r="V4" s="108"/>
      <c r="W4" s="79"/>
      <c r="X4" s="86"/>
    </row>
    <row r="5" spans="1:24" s="26" customFormat="1" ht="12.75" x14ac:dyDescent="0.2">
      <c r="A5" s="713"/>
      <c r="B5" s="48" t="s">
        <v>433</v>
      </c>
      <c r="C5" s="52" t="s">
        <v>92</v>
      </c>
      <c r="D5" s="65"/>
      <c r="E5" s="5"/>
      <c r="F5" s="5"/>
      <c r="G5" s="5"/>
      <c r="H5" s="13"/>
      <c r="I5" s="29"/>
      <c r="J5" s="63"/>
      <c r="K5" s="93">
        <f t="shared" si="0"/>
        <v>10500</v>
      </c>
      <c r="L5" s="93">
        <f t="shared" si="1"/>
        <v>7700.0000000000009</v>
      </c>
      <c r="M5" s="93">
        <f t="shared" si="2"/>
        <v>7350</v>
      </c>
      <c r="N5" s="64">
        <v>7000</v>
      </c>
      <c r="O5" s="69"/>
      <c r="P5" s="62">
        <f>N5-O5</f>
        <v>7000</v>
      </c>
      <c r="Q5" s="99"/>
      <c r="R5" s="105">
        <f t="shared" si="4"/>
        <v>11550.000000000002</v>
      </c>
      <c r="S5" s="105">
        <f t="shared" si="5"/>
        <v>8470.0000000000018</v>
      </c>
      <c r="T5" s="105">
        <f t="shared" si="6"/>
        <v>8085.0000000000009</v>
      </c>
      <c r="U5" s="75">
        <f t="shared" si="7"/>
        <v>7700.0000000000009</v>
      </c>
      <c r="V5" s="108"/>
      <c r="W5" s="79"/>
      <c r="X5" s="86"/>
    </row>
    <row r="6" spans="1:24" ht="12.75" x14ac:dyDescent="0.2">
      <c r="A6" s="713"/>
      <c r="B6" s="48" t="s">
        <v>434</v>
      </c>
      <c r="C6" s="52" t="s">
        <v>435</v>
      </c>
      <c r="D6" s="52"/>
      <c r="E6" s="5"/>
      <c r="F6" s="5">
        <v>0.17</v>
      </c>
      <c r="G6" s="5"/>
      <c r="H6" s="50">
        <v>0</v>
      </c>
      <c r="I6" s="5">
        <f t="shared" ref="I6:I37" si="8">H6*E6</f>
        <v>0</v>
      </c>
      <c r="J6" s="51">
        <f t="shared" ref="J6:J37" si="9">F6*H6</f>
        <v>0</v>
      </c>
      <c r="K6" s="93">
        <f t="shared" si="0"/>
        <v>7350</v>
      </c>
      <c r="L6" s="93">
        <f t="shared" si="1"/>
        <v>5390</v>
      </c>
      <c r="M6" s="93">
        <f t="shared" si="2"/>
        <v>5145</v>
      </c>
      <c r="N6" s="64">
        <v>4900</v>
      </c>
      <c r="O6" s="69"/>
      <c r="P6" s="62">
        <f t="shared" si="3"/>
        <v>4900</v>
      </c>
      <c r="R6" s="105">
        <f t="shared" si="4"/>
        <v>8085</v>
      </c>
      <c r="S6" s="105">
        <f t="shared" si="5"/>
        <v>5929.0000000000009</v>
      </c>
      <c r="T6" s="105">
        <f t="shared" si="6"/>
        <v>5659.5</v>
      </c>
      <c r="U6" s="75">
        <f t="shared" si="7"/>
        <v>5390</v>
      </c>
      <c r="V6" s="108"/>
      <c r="W6" s="79"/>
      <c r="X6" s="86"/>
    </row>
    <row r="7" spans="1:24" x14ac:dyDescent="0.25">
      <c r="A7" s="55" t="s">
        <v>151</v>
      </c>
      <c r="B7" s="14" t="s">
        <v>22</v>
      </c>
      <c r="C7" s="7" t="s">
        <v>166</v>
      </c>
      <c r="D7" s="7"/>
      <c r="E7" s="5">
        <v>0</v>
      </c>
      <c r="F7" s="3">
        <v>0</v>
      </c>
      <c r="G7" s="3" t="s">
        <v>23</v>
      </c>
      <c r="H7" s="13">
        <v>0</v>
      </c>
      <c r="I7" s="29">
        <f t="shared" si="8"/>
        <v>0</v>
      </c>
      <c r="J7" s="30">
        <f t="shared" si="9"/>
        <v>0</v>
      </c>
      <c r="K7" s="93">
        <f t="shared" si="0"/>
        <v>720</v>
      </c>
      <c r="L7" s="93">
        <f t="shared" si="1"/>
        <v>528</v>
      </c>
      <c r="M7" s="93">
        <f t="shared" si="2"/>
        <v>504</v>
      </c>
      <c r="N7" s="64">
        <v>480</v>
      </c>
      <c r="O7" s="69"/>
      <c r="P7" s="62">
        <f t="shared" si="3"/>
        <v>480</v>
      </c>
      <c r="R7" s="105">
        <f t="shared" si="4"/>
        <v>792</v>
      </c>
      <c r="S7" s="105">
        <f t="shared" si="5"/>
        <v>580.80000000000007</v>
      </c>
      <c r="T7" s="105">
        <f t="shared" si="6"/>
        <v>554.4</v>
      </c>
      <c r="U7" s="75">
        <f t="shared" si="7"/>
        <v>528</v>
      </c>
      <c r="V7" s="108"/>
      <c r="W7" s="79"/>
      <c r="X7" s="86"/>
    </row>
    <row r="8" spans="1:24" ht="12.75" x14ac:dyDescent="0.2">
      <c r="A8" s="710" t="s">
        <v>136</v>
      </c>
      <c r="B8" s="14" t="s">
        <v>165</v>
      </c>
      <c r="C8" s="8" t="s">
        <v>355</v>
      </c>
      <c r="D8" s="8"/>
      <c r="E8" s="5">
        <v>15</v>
      </c>
      <c r="F8" s="3">
        <v>3.0000000000000001E-3</v>
      </c>
      <c r="G8" s="3">
        <v>10</v>
      </c>
      <c r="H8" s="13">
        <v>0</v>
      </c>
      <c r="I8" s="29">
        <f t="shared" si="8"/>
        <v>0</v>
      </c>
      <c r="J8" s="30">
        <f t="shared" si="9"/>
        <v>0</v>
      </c>
      <c r="K8" s="93">
        <f t="shared" si="0"/>
        <v>17340</v>
      </c>
      <c r="L8" s="93">
        <f t="shared" si="1"/>
        <v>12716.000000000002</v>
      </c>
      <c r="M8" s="93">
        <f t="shared" si="2"/>
        <v>12138</v>
      </c>
      <c r="N8" s="64">
        <v>11560</v>
      </c>
      <c r="O8" s="69"/>
      <c r="P8" s="62">
        <f t="shared" si="3"/>
        <v>11560</v>
      </c>
      <c r="R8" s="105">
        <f t="shared" si="4"/>
        <v>19074.000000000004</v>
      </c>
      <c r="S8" s="105">
        <f t="shared" si="5"/>
        <v>13987.600000000004</v>
      </c>
      <c r="T8" s="105">
        <f t="shared" si="6"/>
        <v>13351.800000000003</v>
      </c>
      <c r="U8" s="75">
        <f t="shared" si="7"/>
        <v>12716.000000000002</v>
      </c>
      <c r="V8" s="108"/>
      <c r="W8" s="79"/>
      <c r="X8" s="86"/>
    </row>
    <row r="9" spans="1:24" ht="12.75" x14ac:dyDescent="0.2">
      <c r="A9" s="710"/>
      <c r="B9" s="14" t="s">
        <v>167</v>
      </c>
      <c r="C9" s="8" t="s">
        <v>355</v>
      </c>
      <c r="D9" s="8"/>
      <c r="E9" s="5">
        <v>15</v>
      </c>
      <c r="F9" s="3">
        <v>3.0000000000000001E-3</v>
      </c>
      <c r="G9" s="3">
        <v>10</v>
      </c>
      <c r="H9" s="13">
        <v>0</v>
      </c>
      <c r="I9" s="29">
        <f t="shared" si="8"/>
        <v>0</v>
      </c>
      <c r="J9" s="30">
        <f t="shared" si="9"/>
        <v>0</v>
      </c>
      <c r="K9" s="93">
        <f t="shared" si="0"/>
        <v>17340</v>
      </c>
      <c r="L9" s="93">
        <f t="shared" si="1"/>
        <v>12716.000000000002</v>
      </c>
      <c r="M9" s="93">
        <f t="shared" si="2"/>
        <v>12138</v>
      </c>
      <c r="N9" s="64">
        <v>11560</v>
      </c>
      <c r="O9" s="69"/>
      <c r="P9" s="62">
        <f t="shared" si="3"/>
        <v>11560</v>
      </c>
      <c r="R9" s="105">
        <f t="shared" si="4"/>
        <v>19074.000000000004</v>
      </c>
      <c r="S9" s="105">
        <f t="shared" si="5"/>
        <v>13987.600000000004</v>
      </c>
      <c r="T9" s="105">
        <f t="shared" si="6"/>
        <v>13351.800000000003</v>
      </c>
      <c r="U9" s="75">
        <f t="shared" si="7"/>
        <v>12716.000000000002</v>
      </c>
      <c r="V9" s="108"/>
      <c r="W9" s="79"/>
      <c r="X9" s="86"/>
    </row>
    <row r="10" spans="1:24" ht="12.75" x14ac:dyDescent="0.2">
      <c r="A10" s="710"/>
      <c r="B10" s="14" t="s">
        <v>402</v>
      </c>
      <c r="C10" s="7" t="s">
        <v>82</v>
      </c>
      <c r="D10" s="7"/>
      <c r="E10" s="5">
        <v>25.5</v>
      </c>
      <c r="F10" s="3">
        <v>0.2</v>
      </c>
      <c r="G10" s="3">
        <v>6</v>
      </c>
      <c r="H10" s="13">
        <v>0</v>
      </c>
      <c r="I10" s="29">
        <f t="shared" si="8"/>
        <v>0</v>
      </c>
      <c r="J10" s="30">
        <f t="shared" si="9"/>
        <v>0</v>
      </c>
      <c r="K10" s="93">
        <f t="shared" si="0"/>
        <v>13200</v>
      </c>
      <c r="L10" s="93">
        <f t="shared" si="1"/>
        <v>9680</v>
      </c>
      <c r="M10" s="93">
        <f t="shared" si="2"/>
        <v>9240</v>
      </c>
      <c r="N10" s="64">
        <v>8800</v>
      </c>
      <c r="O10" s="69"/>
      <c r="P10" s="62">
        <f t="shared" si="3"/>
        <v>8800</v>
      </c>
      <c r="R10" s="105">
        <f t="shared" si="4"/>
        <v>14520</v>
      </c>
      <c r="S10" s="105">
        <f t="shared" si="5"/>
        <v>10648</v>
      </c>
      <c r="T10" s="105">
        <f t="shared" si="6"/>
        <v>10164</v>
      </c>
      <c r="U10" s="75">
        <f t="shared" si="7"/>
        <v>9680</v>
      </c>
      <c r="V10" s="108"/>
      <c r="W10" s="79"/>
      <c r="X10" s="86"/>
    </row>
    <row r="11" spans="1:24" ht="12.75" x14ac:dyDescent="0.2">
      <c r="A11" s="710"/>
      <c r="B11" s="14" t="s">
        <v>403</v>
      </c>
      <c r="C11" s="7" t="s">
        <v>82</v>
      </c>
      <c r="D11" s="7"/>
      <c r="E11" s="5">
        <v>25.5</v>
      </c>
      <c r="F11" s="3">
        <v>0.2</v>
      </c>
      <c r="G11" s="3">
        <v>6</v>
      </c>
      <c r="H11" s="13">
        <v>0</v>
      </c>
      <c r="I11" s="29">
        <f t="shared" si="8"/>
        <v>0</v>
      </c>
      <c r="J11" s="30">
        <f t="shared" si="9"/>
        <v>0</v>
      </c>
      <c r="K11" s="93">
        <f t="shared" si="0"/>
        <v>13200</v>
      </c>
      <c r="L11" s="93">
        <f t="shared" si="1"/>
        <v>9680</v>
      </c>
      <c r="M11" s="93">
        <f t="shared" si="2"/>
        <v>9240</v>
      </c>
      <c r="N11" s="64">
        <v>8800</v>
      </c>
      <c r="O11" s="69"/>
      <c r="P11" s="62">
        <f t="shared" si="3"/>
        <v>8800</v>
      </c>
      <c r="R11" s="105">
        <f t="shared" si="4"/>
        <v>14520</v>
      </c>
      <c r="S11" s="105">
        <f t="shared" si="5"/>
        <v>10648</v>
      </c>
      <c r="T11" s="105">
        <f t="shared" si="6"/>
        <v>10164</v>
      </c>
      <c r="U11" s="75">
        <f t="shared" si="7"/>
        <v>9680</v>
      </c>
      <c r="V11" s="108"/>
      <c r="W11" s="79"/>
      <c r="X11" s="86"/>
    </row>
    <row r="12" spans="1:24" ht="25.5" x14ac:dyDescent="0.2">
      <c r="A12" s="710"/>
      <c r="B12" s="14" t="s">
        <v>224</v>
      </c>
      <c r="C12" s="7" t="s">
        <v>96</v>
      </c>
      <c r="D12" s="44" t="s">
        <v>284</v>
      </c>
      <c r="E12" s="3">
        <v>37.5</v>
      </c>
      <c r="F12" s="3">
        <v>0.25</v>
      </c>
      <c r="G12" s="34"/>
      <c r="H12" s="13">
        <v>0</v>
      </c>
      <c r="I12" s="29">
        <f t="shared" si="8"/>
        <v>0</v>
      </c>
      <c r="J12" s="30">
        <f t="shared" si="9"/>
        <v>0</v>
      </c>
      <c r="K12" s="93">
        <f t="shared" si="0"/>
        <v>24750</v>
      </c>
      <c r="L12" s="93">
        <f t="shared" si="1"/>
        <v>18150</v>
      </c>
      <c r="M12" s="93">
        <f t="shared" si="2"/>
        <v>17325</v>
      </c>
      <c r="N12" s="64">
        <v>16500</v>
      </c>
      <c r="O12" s="69">
        <v>12553.2</v>
      </c>
      <c r="P12" s="62">
        <f t="shared" si="3"/>
        <v>3946.7999999999993</v>
      </c>
      <c r="R12" s="105">
        <f t="shared" si="4"/>
        <v>27225</v>
      </c>
      <c r="S12" s="105">
        <f t="shared" si="5"/>
        <v>19965</v>
      </c>
      <c r="T12" s="105">
        <f t="shared" si="6"/>
        <v>19057.5</v>
      </c>
      <c r="U12" s="75">
        <f t="shared" si="7"/>
        <v>18150</v>
      </c>
      <c r="V12" s="108">
        <f>O12*1.1</f>
        <v>13808.520000000002</v>
      </c>
      <c r="W12" s="79">
        <f>U12-V12</f>
        <v>4341.4799999999977</v>
      </c>
      <c r="X12" s="86">
        <v>4030</v>
      </c>
    </row>
    <row r="13" spans="1:24" ht="25.5" x14ac:dyDescent="0.2">
      <c r="A13" s="710"/>
      <c r="B13" s="14" t="s">
        <v>314</v>
      </c>
      <c r="C13" s="7" t="s">
        <v>96</v>
      </c>
      <c r="D13" s="44" t="s">
        <v>284</v>
      </c>
      <c r="E13" s="3">
        <v>37.5</v>
      </c>
      <c r="F13" s="3">
        <v>0.25</v>
      </c>
      <c r="G13" s="34"/>
      <c r="H13" s="13">
        <v>0</v>
      </c>
      <c r="I13" s="29">
        <f t="shared" si="8"/>
        <v>0</v>
      </c>
      <c r="J13" s="30">
        <f t="shared" si="9"/>
        <v>0</v>
      </c>
      <c r="K13" s="93">
        <f t="shared" si="0"/>
        <v>24750</v>
      </c>
      <c r="L13" s="93">
        <f t="shared" si="1"/>
        <v>18150</v>
      </c>
      <c r="M13" s="93">
        <f t="shared" si="2"/>
        <v>17325</v>
      </c>
      <c r="N13" s="64">
        <v>16500</v>
      </c>
      <c r="O13" s="69">
        <v>12553.2</v>
      </c>
      <c r="P13" s="62">
        <f t="shared" si="3"/>
        <v>3946.7999999999993</v>
      </c>
      <c r="R13" s="105">
        <f t="shared" si="4"/>
        <v>27225</v>
      </c>
      <c r="S13" s="105">
        <f t="shared" si="5"/>
        <v>19965</v>
      </c>
      <c r="T13" s="105">
        <f t="shared" si="6"/>
        <v>19057.5</v>
      </c>
      <c r="U13" s="75">
        <f t="shared" si="7"/>
        <v>18150</v>
      </c>
      <c r="V13" s="108">
        <f>O13*1.1</f>
        <v>13808.520000000002</v>
      </c>
      <c r="W13" s="79">
        <f>U13-V13</f>
        <v>4341.4799999999977</v>
      </c>
      <c r="X13" s="86">
        <v>4030</v>
      </c>
    </row>
    <row r="14" spans="1:24" ht="12.75" x14ac:dyDescent="0.2">
      <c r="A14" s="710" t="s">
        <v>135</v>
      </c>
      <c r="B14" s="14" t="s">
        <v>394</v>
      </c>
      <c r="C14" s="7" t="s">
        <v>81</v>
      </c>
      <c r="D14" s="7"/>
      <c r="E14" s="5">
        <v>32</v>
      </c>
      <c r="F14" s="3">
        <v>0.25</v>
      </c>
      <c r="G14" s="3">
        <v>6</v>
      </c>
      <c r="H14" s="13">
        <v>0</v>
      </c>
      <c r="I14" s="29">
        <f t="shared" si="8"/>
        <v>0</v>
      </c>
      <c r="J14" s="30">
        <f t="shared" si="9"/>
        <v>0</v>
      </c>
      <c r="K14" s="93">
        <f t="shared" si="0"/>
        <v>7650</v>
      </c>
      <c r="L14" s="93">
        <f t="shared" si="1"/>
        <v>5610</v>
      </c>
      <c r="M14" s="93">
        <f t="shared" si="2"/>
        <v>5355</v>
      </c>
      <c r="N14" s="64">
        <v>5100</v>
      </c>
      <c r="O14" s="69"/>
      <c r="P14" s="62">
        <f t="shared" si="3"/>
        <v>5100</v>
      </c>
      <c r="R14" s="105">
        <f t="shared" si="4"/>
        <v>8415</v>
      </c>
      <c r="S14" s="105">
        <f t="shared" si="5"/>
        <v>6171.0000000000009</v>
      </c>
      <c r="T14" s="105">
        <f t="shared" si="6"/>
        <v>5890.5</v>
      </c>
      <c r="U14" s="75">
        <f t="shared" si="7"/>
        <v>5610</v>
      </c>
      <c r="V14" s="108"/>
      <c r="W14" s="79"/>
      <c r="X14" s="86"/>
    </row>
    <row r="15" spans="1:24" ht="12.75" x14ac:dyDescent="0.2">
      <c r="A15" s="710"/>
      <c r="B15" s="14" t="s">
        <v>395</v>
      </c>
      <c r="C15" s="7" t="s">
        <v>81</v>
      </c>
      <c r="D15" s="7"/>
      <c r="E15" s="5">
        <v>32</v>
      </c>
      <c r="F15" s="3">
        <v>0.25</v>
      </c>
      <c r="G15" s="3">
        <v>6</v>
      </c>
      <c r="H15" s="13">
        <v>0</v>
      </c>
      <c r="I15" s="29">
        <f t="shared" si="8"/>
        <v>0</v>
      </c>
      <c r="J15" s="30">
        <f t="shared" si="9"/>
        <v>0</v>
      </c>
      <c r="K15" s="93">
        <f t="shared" si="0"/>
        <v>7650</v>
      </c>
      <c r="L15" s="93">
        <f t="shared" si="1"/>
        <v>5610</v>
      </c>
      <c r="M15" s="93">
        <f t="shared" si="2"/>
        <v>5355</v>
      </c>
      <c r="N15" s="64">
        <v>5100</v>
      </c>
      <c r="O15" s="69"/>
      <c r="P15" s="62">
        <f t="shared" si="3"/>
        <v>5100</v>
      </c>
      <c r="R15" s="105">
        <f t="shared" si="4"/>
        <v>8415</v>
      </c>
      <c r="S15" s="105">
        <f t="shared" si="5"/>
        <v>6171.0000000000009</v>
      </c>
      <c r="T15" s="105">
        <f t="shared" si="6"/>
        <v>5890.5</v>
      </c>
      <c r="U15" s="75">
        <f t="shared" si="7"/>
        <v>5610</v>
      </c>
      <c r="V15" s="108"/>
      <c r="W15" s="79"/>
      <c r="X15" s="86"/>
    </row>
    <row r="16" spans="1:24" ht="12.75" x14ac:dyDescent="0.2">
      <c r="A16" s="710"/>
      <c r="B16" s="14" t="s">
        <v>396</v>
      </c>
      <c r="C16" s="7" t="s">
        <v>81</v>
      </c>
      <c r="D16" s="7"/>
      <c r="E16" s="5">
        <v>32</v>
      </c>
      <c r="F16" s="3">
        <v>0.25</v>
      </c>
      <c r="G16" s="3">
        <v>6</v>
      </c>
      <c r="H16" s="13">
        <v>0</v>
      </c>
      <c r="I16" s="29">
        <f t="shared" si="8"/>
        <v>0</v>
      </c>
      <c r="J16" s="30">
        <f t="shared" si="9"/>
        <v>0</v>
      </c>
      <c r="K16" s="93">
        <f t="shared" si="0"/>
        <v>7650</v>
      </c>
      <c r="L16" s="93">
        <f t="shared" si="1"/>
        <v>5610</v>
      </c>
      <c r="M16" s="93">
        <f t="shared" si="2"/>
        <v>5355</v>
      </c>
      <c r="N16" s="64">
        <v>5100</v>
      </c>
      <c r="O16" s="69"/>
      <c r="P16" s="62">
        <f t="shared" si="3"/>
        <v>5100</v>
      </c>
      <c r="R16" s="105">
        <f t="shared" si="4"/>
        <v>8415</v>
      </c>
      <c r="S16" s="105">
        <f t="shared" si="5"/>
        <v>6171.0000000000009</v>
      </c>
      <c r="T16" s="105">
        <f t="shared" si="6"/>
        <v>5890.5</v>
      </c>
      <c r="U16" s="75">
        <f t="shared" si="7"/>
        <v>5610</v>
      </c>
      <c r="V16" s="108"/>
      <c r="W16" s="79"/>
      <c r="X16" s="86"/>
    </row>
    <row r="17" spans="1:24" ht="12.75" x14ac:dyDescent="0.2">
      <c r="A17" s="710"/>
      <c r="B17" s="14" t="s">
        <v>208</v>
      </c>
      <c r="C17" s="7" t="s">
        <v>92</v>
      </c>
      <c r="D17" s="44" t="s">
        <v>281</v>
      </c>
      <c r="E17" s="5">
        <v>17.5</v>
      </c>
      <c r="F17" s="3">
        <v>0.16</v>
      </c>
      <c r="G17" s="3"/>
      <c r="H17" s="13">
        <v>0</v>
      </c>
      <c r="I17" s="29">
        <f t="shared" si="8"/>
        <v>0</v>
      </c>
      <c r="J17" s="30">
        <f t="shared" si="9"/>
        <v>0</v>
      </c>
      <c r="K17" s="93">
        <f t="shared" si="0"/>
        <v>8175</v>
      </c>
      <c r="L17" s="93">
        <f t="shared" si="1"/>
        <v>5995.0000000000009</v>
      </c>
      <c r="M17" s="93">
        <f t="shared" si="2"/>
        <v>5722.5</v>
      </c>
      <c r="N17" s="64">
        <v>5450</v>
      </c>
      <c r="O17" s="69">
        <v>2889.9</v>
      </c>
      <c r="P17" s="62">
        <f t="shared" si="3"/>
        <v>2560.1</v>
      </c>
      <c r="R17" s="105">
        <f t="shared" si="4"/>
        <v>8992.5000000000018</v>
      </c>
      <c r="S17" s="105">
        <f t="shared" si="5"/>
        <v>6594.5000000000018</v>
      </c>
      <c r="T17" s="105">
        <f t="shared" si="6"/>
        <v>6294.7500000000009</v>
      </c>
      <c r="U17" s="75">
        <f t="shared" si="7"/>
        <v>5995.0000000000009</v>
      </c>
      <c r="V17" s="108">
        <f t="shared" ref="V17:V34" si="10">O17*1.1</f>
        <v>3178.8900000000003</v>
      </c>
      <c r="W17" s="79">
        <f t="shared" ref="W17:W34" si="11">U17-V17</f>
        <v>2816.1100000000006</v>
      </c>
      <c r="X17" s="86">
        <v>2293</v>
      </c>
    </row>
    <row r="18" spans="1:24" ht="12.75" x14ac:dyDescent="0.2">
      <c r="A18" s="710"/>
      <c r="B18" s="14" t="s">
        <v>311</v>
      </c>
      <c r="C18" s="7" t="s">
        <v>92</v>
      </c>
      <c r="D18" s="44" t="s">
        <v>281</v>
      </c>
      <c r="E18" s="5">
        <v>17.5</v>
      </c>
      <c r="F18" s="3">
        <v>0.16</v>
      </c>
      <c r="G18" s="3"/>
      <c r="H18" s="13">
        <v>0</v>
      </c>
      <c r="I18" s="29">
        <f t="shared" si="8"/>
        <v>0</v>
      </c>
      <c r="J18" s="30">
        <f t="shared" si="9"/>
        <v>0</v>
      </c>
      <c r="K18" s="93">
        <f t="shared" si="0"/>
        <v>8775</v>
      </c>
      <c r="L18" s="93">
        <f t="shared" si="1"/>
        <v>6435.0000000000009</v>
      </c>
      <c r="M18" s="93">
        <f t="shared" si="2"/>
        <v>6142.5</v>
      </c>
      <c r="N18" s="64">
        <v>5850</v>
      </c>
      <c r="O18" s="69">
        <v>3289.9</v>
      </c>
      <c r="P18" s="62">
        <f t="shared" si="3"/>
        <v>2560.1</v>
      </c>
      <c r="R18" s="105">
        <f t="shared" si="4"/>
        <v>9652.5000000000018</v>
      </c>
      <c r="S18" s="105">
        <f t="shared" si="5"/>
        <v>7078.5000000000018</v>
      </c>
      <c r="T18" s="105">
        <f t="shared" si="6"/>
        <v>6756.7500000000009</v>
      </c>
      <c r="U18" s="75">
        <f t="shared" si="7"/>
        <v>6435.0000000000009</v>
      </c>
      <c r="V18" s="108">
        <f t="shared" si="10"/>
        <v>3618.8900000000003</v>
      </c>
      <c r="W18" s="79">
        <f t="shared" si="11"/>
        <v>2816.1100000000006</v>
      </c>
      <c r="X18" s="86">
        <v>2293</v>
      </c>
    </row>
    <row r="19" spans="1:24" ht="12" customHeight="1" x14ac:dyDescent="0.2">
      <c r="A19" s="710"/>
      <c r="B19" s="14" t="s">
        <v>211</v>
      </c>
      <c r="C19" s="7" t="s">
        <v>92</v>
      </c>
      <c r="D19" s="44" t="s">
        <v>281</v>
      </c>
      <c r="E19" s="5">
        <v>17.5</v>
      </c>
      <c r="F19" s="3">
        <v>0.16</v>
      </c>
      <c r="G19" s="3"/>
      <c r="H19" s="13">
        <v>0</v>
      </c>
      <c r="I19" s="29">
        <f t="shared" si="8"/>
        <v>0</v>
      </c>
      <c r="J19" s="30">
        <f t="shared" si="9"/>
        <v>0</v>
      </c>
      <c r="K19" s="93">
        <f t="shared" si="0"/>
        <v>8175</v>
      </c>
      <c r="L19" s="93">
        <f t="shared" si="1"/>
        <v>5995.0000000000009</v>
      </c>
      <c r="M19" s="93">
        <f t="shared" si="2"/>
        <v>5722.5</v>
      </c>
      <c r="N19" s="64">
        <v>5450</v>
      </c>
      <c r="O19" s="69">
        <v>2889.9</v>
      </c>
      <c r="P19" s="62">
        <f t="shared" si="3"/>
        <v>2560.1</v>
      </c>
      <c r="R19" s="105">
        <f t="shared" si="4"/>
        <v>8992.5000000000018</v>
      </c>
      <c r="S19" s="105">
        <f t="shared" si="5"/>
        <v>6594.5000000000018</v>
      </c>
      <c r="T19" s="105">
        <f t="shared" si="6"/>
        <v>6294.7500000000009</v>
      </c>
      <c r="U19" s="75">
        <f t="shared" si="7"/>
        <v>5995.0000000000009</v>
      </c>
      <c r="V19" s="108">
        <f t="shared" si="10"/>
        <v>3178.8900000000003</v>
      </c>
      <c r="W19" s="79">
        <f t="shared" si="11"/>
        <v>2816.1100000000006</v>
      </c>
      <c r="X19" s="86">
        <v>2293</v>
      </c>
    </row>
    <row r="20" spans="1:24" ht="12.75" x14ac:dyDescent="0.2">
      <c r="A20" s="710"/>
      <c r="B20" s="14" t="s">
        <v>212</v>
      </c>
      <c r="C20" s="7" t="s">
        <v>92</v>
      </c>
      <c r="D20" s="44" t="s">
        <v>281</v>
      </c>
      <c r="E20" s="5">
        <v>17.5</v>
      </c>
      <c r="F20" s="3">
        <v>0.16</v>
      </c>
      <c r="G20" s="3"/>
      <c r="H20" s="13">
        <v>0</v>
      </c>
      <c r="I20" s="29">
        <f t="shared" si="8"/>
        <v>0</v>
      </c>
      <c r="J20" s="30">
        <f t="shared" si="9"/>
        <v>0</v>
      </c>
      <c r="K20" s="93">
        <f t="shared" si="0"/>
        <v>8775</v>
      </c>
      <c r="L20" s="93">
        <f t="shared" si="1"/>
        <v>6435.0000000000009</v>
      </c>
      <c r="M20" s="93">
        <f t="shared" si="2"/>
        <v>6142.5</v>
      </c>
      <c r="N20" s="64">
        <v>5850</v>
      </c>
      <c r="O20" s="69">
        <v>3289.9</v>
      </c>
      <c r="P20" s="62">
        <f t="shared" si="3"/>
        <v>2560.1</v>
      </c>
      <c r="R20" s="105">
        <f t="shared" si="4"/>
        <v>9652.5000000000018</v>
      </c>
      <c r="S20" s="105">
        <f t="shared" si="5"/>
        <v>7078.5000000000018</v>
      </c>
      <c r="T20" s="105">
        <f t="shared" si="6"/>
        <v>6756.7500000000009</v>
      </c>
      <c r="U20" s="75">
        <f t="shared" si="7"/>
        <v>6435.0000000000009</v>
      </c>
      <c r="V20" s="108">
        <f t="shared" si="10"/>
        <v>3618.8900000000003</v>
      </c>
      <c r="W20" s="79">
        <f t="shared" si="11"/>
        <v>2816.1100000000006</v>
      </c>
      <c r="X20" s="86">
        <v>2293</v>
      </c>
    </row>
    <row r="21" spans="1:24" ht="12.75" x14ac:dyDescent="0.2">
      <c r="A21" s="710"/>
      <c r="B21" s="14" t="s">
        <v>218</v>
      </c>
      <c r="C21" s="7" t="s">
        <v>92</v>
      </c>
      <c r="D21" s="44" t="s">
        <v>281</v>
      </c>
      <c r="E21" s="5">
        <v>17.5</v>
      </c>
      <c r="F21" s="3">
        <v>0.16</v>
      </c>
      <c r="G21" s="3"/>
      <c r="H21" s="13">
        <v>0</v>
      </c>
      <c r="I21" s="29">
        <f t="shared" si="8"/>
        <v>0</v>
      </c>
      <c r="J21" s="30">
        <f t="shared" si="9"/>
        <v>0</v>
      </c>
      <c r="K21" s="93">
        <f t="shared" si="0"/>
        <v>8175</v>
      </c>
      <c r="L21" s="93">
        <f t="shared" si="1"/>
        <v>5995.0000000000009</v>
      </c>
      <c r="M21" s="93">
        <f t="shared" si="2"/>
        <v>5722.5</v>
      </c>
      <c r="N21" s="64">
        <v>5450</v>
      </c>
      <c r="O21" s="69">
        <v>2889.9</v>
      </c>
      <c r="P21" s="62">
        <f t="shared" si="3"/>
        <v>2560.1</v>
      </c>
      <c r="R21" s="105">
        <f t="shared" si="4"/>
        <v>8992.5000000000018</v>
      </c>
      <c r="S21" s="105">
        <f t="shared" si="5"/>
        <v>6594.5000000000018</v>
      </c>
      <c r="T21" s="105">
        <f t="shared" si="6"/>
        <v>6294.7500000000009</v>
      </c>
      <c r="U21" s="75">
        <f t="shared" si="7"/>
        <v>5995.0000000000009</v>
      </c>
      <c r="V21" s="108">
        <f t="shared" si="10"/>
        <v>3178.8900000000003</v>
      </c>
      <c r="W21" s="79">
        <f t="shared" si="11"/>
        <v>2816.1100000000006</v>
      </c>
      <c r="X21" s="86">
        <v>2293</v>
      </c>
    </row>
    <row r="22" spans="1:24" ht="12.75" x14ac:dyDescent="0.2">
      <c r="A22" s="710"/>
      <c r="B22" s="14" t="s">
        <v>219</v>
      </c>
      <c r="C22" s="7" t="s">
        <v>92</v>
      </c>
      <c r="D22" s="44" t="s">
        <v>281</v>
      </c>
      <c r="E22" s="5">
        <v>17.5</v>
      </c>
      <c r="F22" s="3">
        <v>0.16</v>
      </c>
      <c r="G22" s="3"/>
      <c r="H22" s="13">
        <v>0</v>
      </c>
      <c r="I22" s="29">
        <f t="shared" si="8"/>
        <v>0</v>
      </c>
      <c r="J22" s="30">
        <f t="shared" si="9"/>
        <v>0</v>
      </c>
      <c r="K22" s="93">
        <f t="shared" si="0"/>
        <v>8775</v>
      </c>
      <c r="L22" s="93">
        <f t="shared" si="1"/>
        <v>6435.0000000000009</v>
      </c>
      <c r="M22" s="93">
        <f t="shared" si="2"/>
        <v>6142.5</v>
      </c>
      <c r="N22" s="64">
        <v>5850</v>
      </c>
      <c r="O22" s="69">
        <v>3289.9</v>
      </c>
      <c r="P22" s="62">
        <f t="shared" si="3"/>
        <v>2560.1</v>
      </c>
      <c r="R22" s="105">
        <f t="shared" si="4"/>
        <v>9652.5000000000018</v>
      </c>
      <c r="S22" s="105">
        <f t="shared" si="5"/>
        <v>7078.5000000000018</v>
      </c>
      <c r="T22" s="105">
        <f t="shared" si="6"/>
        <v>6756.7500000000009</v>
      </c>
      <c r="U22" s="75">
        <f t="shared" si="7"/>
        <v>6435.0000000000009</v>
      </c>
      <c r="V22" s="108">
        <f t="shared" si="10"/>
        <v>3618.8900000000003</v>
      </c>
      <c r="W22" s="79">
        <f t="shared" si="11"/>
        <v>2816.1100000000006</v>
      </c>
      <c r="X22" s="86">
        <v>2293</v>
      </c>
    </row>
    <row r="23" spans="1:24" ht="12.75" x14ac:dyDescent="0.2">
      <c r="A23" s="710"/>
      <c r="B23" s="14" t="s">
        <v>312</v>
      </c>
      <c r="C23" s="7" t="s">
        <v>94</v>
      </c>
      <c r="D23" s="44" t="s">
        <v>282</v>
      </c>
      <c r="E23" s="5">
        <v>19</v>
      </c>
      <c r="F23" s="3">
        <v>0.19</v>
      </c>
      <c r="G23" s="3"/>
      <c r="H23" s="13">
        <v>0</v>
      </c>
      <c r="I23" s="29">
        <f t="shared" si="8"/>
        <v>0</v>
      </c>
      <c r="J23" s="30">
        <f t="shared" si="9"/>
        <v>0</v>
      </c>
      <c r="K23" s="93">
        <f t="shared" si="0"/>
        <v>9150</v>
      </c>
      <c r="L23" s="93">
        <f t="shared" si="1"/>
        <v>6710.0000000000009</v>
      </c>
      <c r="M23" s="93">
        <f t="shared" si="2"/>
        <v>6405</v>
      </c>
      <c r="N23" s="64">
        <v>6100</v>
      </c>
      <c r="O23" s="69">
        <v>3030.1439999999998</v>
      </c>
      <c r="P23" s="62">
        <f t="shared" si="3"/>
        <v>3069.8560000000002</v>
      </c>
      <c r="R23" s="105">
        <f t="shared" si="4"/>
        <v>10065.000000000002</v>
      </c>
      <c r="S23" s="105">
        <f t="shared" si="5"/>
        <v>7381.0000000000018</v>
      </c>
      <c r="T23" s="105">
        <f t="shared" si="6"/>
        <v>7045.5000000000009</v>
      </c>
      <c r="U23" s="75">
        <f t="shared" si="7"/>
        <v>6710.0000000000009</v>
      </c>
      <c r="V23" s="108">
        <f t="shared" si="10"/>
        <v>3333.1583999999998</v>
      </c>
      <c r="W23" s="79">
        <f t="shared" si="11"/>
        <v>3376.8416000000011</v>
      </c>
      <c r="X23" s="86">
        <v>2736</v>
      </c>
    </row>
    <row r="24" spans="1:24" ht="12.75" x14ac:dyDescent="0.2">
      <c r="A24" s="710"/>
      <c r="B24" s="14" t="s">
        <v>209</v>
      </c>
      <c r="C24" s="7" t="s">
        <v>94</v>
      </c>
      <c r="D24" s="44" t="s">
        <v>282</v>
      </c>
      <c r="E24" s="5">
        <v>19</v>
      </c>
      <c r="F24" s="3">
        <v>0.19</v>
      </c>
      <c r="G24" s="3"/>
      <c r="H24" s="13">
        <v>0</v>
      </c>
      <c r="I24" s="29">
        <f t="shared" si="8"/>
        <v>0</v>
      </c>
      <c r="J24" s="30">
        <f t="shared" si="9"/>
        <v>0</v>
      </c>
      <c r="K24" s="93">
        <f t="shared" si="0"/>
        <v>9750</v>
      </c>
      <c r="L24" s="93">
        <f t="shared" si="1"/>
        <v>7150.0000000000009</v>
      </c>
      <c r="M24" s="93">
        <f t="shared" si="2"/>
        <v>6825</v>
      </c>
      <c r="N24" s="64">
        <v>6500</v>
      </c>
      <c r="O24" s="69">
        <v>3430.1439999999998</v>
      </c>
      <c r="P24" s="62">
        <f t="shared" si="3"/>
        <v>3069.8560000000002</v>
      </c>
      <c r="R24" s="105">
        <f t="shared" si="4"/>
        <v>10725.000000000002</v>
      </c>
      <c r="S24" s="105">
        <f t="shared" si="5"/>
        <v>7865.0000000000018</v>
      </c>
      <c r="T24" s="105">
        <f t="shared" si="6"/>
        <v>7507.5000000000009</v>
      </c>
      <c r="U24" s="75">
        <f t="shared" si="7"/>
        <v>7150.0000000000009</v>
      </c>
      <c r="V24" s="108">
        <f t="shared" si="10"/>
        <v>3773.1584000000003</v>
      </c>
      <c r="W24" s="79">
        <f t="shared" si="11"/>
        <v>3376.8416000000007</v>
      </c>
      <c r="X24" s="86">
        <v>2736</v>
      </c>
    </row>
    <row r="25" spans="1:24" ht="12.75" x14ac:dyDescent="0.2">
      <c r="A25" s="710"/>
      <c r="B25" s="14" t="s">
        <v>213</v>
      </c>
      <c r="C25" s="7" t="s">
        <v>94</v>
      </c>
      <c r="D25" s="44" t="s">
        <v>282</v>
      </c>
      <c r="E25" s="5">
        <v>19</v>
      </c>
      <c r="F25" s="3">
        <v>0.19</v>
      </c>
      <c r="G25" s="3"/>
      <c r="H25" s="13">
        <v>0</v>
      </c>
      <c r="I25" s="29">
        <f t="shared" si="8"/>
        <v>0</v>
      </c>
      <c r="J25" s="30">
        <f t="shared" si="9"/>
        <v>0</v>
      </c>
      <c r="K25" s="93">
        <f t="shared" si="0"/>
        <v>9150</v>
      </c>
      <c r="L25" s="93">
        <f t="shared" si="1"/>
        <v>6710.0000000000009</v>
      </c>
      <c r="M25" s="93">
        <f t="shared" si="2"/>
        <v>6405</v>
      </c>
      <c r="N25" s="64">
        <v>6100</v>
      </c>
      <c r="O25" s="69">
        <v>3030.1439999999998</v>
      </c>
      <c r="P25" s="62">
        <f t="shared" si="3"/>
        <v>3069.8560000000002</v>
      </c>
      <c r="R25" s="105">
        <f t="shared" si="4"/>
        <v>10065.000000000002</v>
      </c>
      <c r="S25" s="105">
        <f t="shared" si="5"/>
        <v>7381.0000000000018</v>
      </c>
      <c r="T25" s="105">
        <f t="shared" si="6"/>
        <v>7045.5000000000009</v>
      </c>
      <c r="U25" s="75">
        <f t="shared" si="7"/>
        <v>6710.0000000000009</v>
      </c>
      <c r="V25" s="108">
        <f t="shared" si="10"/>
        <v>3333.1583999999998</v>
      </c>
      <c r="W25" s="79">
        <f t="shared" si="11"/>
        <v>3376.8416000000011</v>
      </c>
      <c r="X25" s="86">
        <v>2736</v>
      </c>
    </row>
    <row r="26" spans="1:24" ht="12.75" x14ac:dyDescent="0.2">
      <c r="A26" s="710"/>
      <c r="B26" s="14" t="s">
        <v>214</v>
      </c>
      <c r="C26" s="7" t="s">
        <v>94</v>
      </c>
      <c r="D26" s="44" t="s">
        <v>282</v>
      </c>
      <c r="E26" s="5">
        <v>19</v>
      </c>
      <c r="F26" s="3">
        <v>0.19</v>
      </c>
      <c r="G26" s="3"/>
      <c r="H26" s="13">
        <v>0</v>
      </c>
      <c r="I26" s="29">
        <f t="shared" si="8"/>
        <v>0</v>
      </c>
      <c r="J26" s="30">
        <f t="shared" si="9"/>
        <v>0</v>
      </c>
      <c r="K26" s="93">
        <f t="shared" si="0"/>
        <v>9750</v>
      </c>
      <c r="L26" s="93">
        <f t="shared" si="1"/>
        <v>7150.0000000000009</v>
      </c>
      <c r="M26" s="93">
        <f t="shared" si="2"/>
        <v>6825</v>
      </c>
      <c r="N26" s="64">
        <v>6500</v>
      </c>
      <c r="O26" s="69">
        <v>3430.1439999999998</v>
      </c>
      <c r="P26" s="62">
        <f t="shared" si="3"/>
        <v>3069.8560000000002</v>
      </c>
      <c r="R26" s="105">
        <f t="shared" si="4"/>
        <v>10725.000000000002</v>
      </c>
      <c r="S26" s="105">
        <f t="shared" si="5"/>
        <v>7865.0000000000018</v>
      </c>
      <c r="T26" s="105">
        <f t="shared" si="6"/>
        <v>7507.5000000000009</v>
      </c>
      <c r="U26" s="75">
        <f t="shared" si="7"/>
        <v>7150.0000000000009</v>
      </c>
      <c r="V26" s="108">
        <f t="shared" si="10"/>
        <v>3773.1584000000003</v>
      </c>
      <c r="W26" s="79">
        <f t="shared" si="11"/>
        <v>3376.8416000000007</v>
      </c>
      <c r="X26" s="86">
        <v>2736</v>
      </c>
    </row>
    <row r="27" spans="1:24" ht="12.75" x14ac:dyDescent="0.2">
      <c r="A27" s="710"/>
      <c r="B27" s="14" t="s">
        <v>220</v>
      </c>
      <c r="C27" s="7" t="s">
        <v>94</v>
      </c>
      <c r="D27" s="44" t="s">
        <v>282</v>
      </c>
      <c r="E27" s="5">
        <v>19</v>
      </c>
      <c r="F27" s="3">
        <v>0.19</v>
      </c>
      <c r="G27" s="3"/>
      <c r="H27" s="13">
        <v>0</v>
      </c>
      <c r="I27" s="29">
        <f t="shared" si="8"/>
        <v>0</v>
      </c>
      <c r="J27" s="30">
        <f t="shared" si="9"/>
        <v>0</v>
      </c>
      <c r="K27" s="93">
        <f t="shared" si="0"/>
        <v>9150</v>
      </c>
      <c r="L27" s="93">
        <f t="shared" si="1"/>
        <v>6710.0000000000009</v>
      </c>
      <c r="M27" s="93">
        <f t="shared" si="2"/>
        <v>6405</v>
      </c>
      <c r="N27" s="64">
        <v>6100</v>
      </c>
      <c r="O27" s="69">
        <v>3030.1439999999998</v>
      </c>
      <c r="P27" s="62">
        <f t="shared" si="3"/>
        <v>3069.8560000000002</v>
      </c>
      <c r="R27" s="105">
        <f t="shared" si="4"/>
        <v>10065.000000000002</v>
      </c>
      <c r="S27" s="105">
        <f t="shared" si="5"/>
        <v>7381.0000000000018</v>
      </c>
      <c r="T27" s="105">
        <f t="shared" si="6"/>
        <v>7045.5000000000009</v>
      </c>
      <c r="U27" s="75">
        <f t="shared" si="7"/>
        <v>6710.0000000000009</v>
      </c>
      <c r="V27" s="108">
        <f t="shared" si="10"/>
        <v>3333.1583999999998</v>
      </c>
      <c r="W27" s="79">
        <f t="shared" si="11"/>
        <v>3376.8416000000011</v>
      </c>
      <c r="X27" s="86">
        <v>2736</v>
      </c>
    </row>
    <row r="28" spans="1:24" ht="12.75" x14ac:dyDescent="0.2">
      <c r="A28" s="710"/>
      <c r="B28" s="14" t="s">
        <v>221</v>
      </c>
      <c r="C28" s="7" t="s">
        <v>94</v>
      </c>
      <c r="D28" s="44" t="s">
        <v>282</v>
      </c>
      <c r="E28" s="5">
        <v>19</v>
      </c>
      <c r="F28" s="3">
        <v>0.19</v>
      </c>
      <c r="G28" s="3"/>
      <c r="H28" s="13">
        <v>0</v>
      </c>
      <c r="I28" s="29">
        <f t="shared" si="8"/>
        <v>0</v>
      </c>
      <c r="J28" s="30">
        <f t="shared" si="9"/>
        <v>0</v>
      </c>
      <c r="K28" s="93">
        <f t="shared" si="0"/>
        <v>9750</v>
      </c>
      <c r="L28" s="93">
        <f t="shared" si="1"/>
        <v>7150.0000000000009</v>
      </c>
      <c r="M28" s="93">
        <f t="shared" si="2"/>
        <v>6825</v>
      </c>
      <c r="N28" s="64">
        <v>6500</v>
      </c>
      <c r="O28" s="69">
        <v>3430.1439999999998</v>
      </c>
      <c r="P28" s="62">
        <f t="shared" si="3"/>
        <v>3069.8560000000002</v>
      </c>
      <c r="R28" s="105">
        <f t="shared" si="4"/>
        <v>10725.000000000002</v>
      </c>
      <c r="S28" s="105">
        <f t="shared" si="5"/>
        <v>7865.0000000000018</v>
      </c>
      <c r="T28" s="105">
        <f t="shared" si="6"/>
        <v>7507.5000000000009</v>
      </c>
      <c r="U28" s="75">
        <f t="shared" si="7"/>
        <v>7150.0000000000009</v>
      </c>
      <c r="V28" s="108">
        <f t="shared" si="10"/>
        <v>3773.1584000000003</v>
      </c>
      <c r="W28" s="79">
        <f t="shared" si="11"/>
        <v>3376.8416000000007</v>
      </c>
      <c r="X28" s="86">
        <v>2736</v>
      </c>
    </row>
    <row r="29" spans="1:24" ht="12.75" x14ac:dyDescent="0.2">
      <c r="A29" s="710"/>
      <c r="B29" s="14" t="s">
        <v>313</v>
      </c>
      <c r="C29" s="7" t="s">
        <v>95</v>
      </c>
      <c r="D29" s="44" t="s">
        <v>283</v>
      </c>
      <c r="E29" s="5">
        <v>21</v>
      </c>
      <c r="F29" s="3">
        <v>0.2</v>
      </c>
      <c r="G29" s="3"/>
      <c r="H29" s="13">
        <v>0</v>
      </c>
      <c r="I29" s="29">
        <f t="shared" si="8"/>
        <v>0</v>
      </c>
      <c r="J29" s="30">
        <f t="shared" si="9"/>
        <v>0</v>
      </c>
      <c r="K29" s="93">
        <f t="shared" si="0"/>
        <v>11250</v>
      </c>
      <c r="L29" s="93">
        <f t="shared" si="1"/>
        <v>8250</v>
      </c>
      <c r="M29" s="93">
        <f t="shared" si="2"/>
        <v>7875</v>
      </c>
      <c r="N29" s="64">
        <v>7500</v>
      </c>
      <c r="O29" s="69">
        <v>3556.7</v>
      </c>
      <c r="P29" s="62">
        <f t="shared" si="3"/>
        <v>3943.3</v>
      </c>
      <c r="R29" s="105">
        <f t="shared" si="4"/>
        <v>12375</v>
      </c>
      <c r="S29" s="105">
        <f t="shared" si="5"/>
        <v>9075</v>
      </c>
      <c r="T29" s="105">
        <f t="shared" si="6"/>
        <v>8662.5</v>
      </c>
      <c r="U29" s="75">
        <f t="shared" si="7"/>
        <v>8250</v>
      </c>
      <c r="V29" s="108">
        <f t="shared" si="10"/>
        <v>3912.37</v>
      </c>
      <c r="W29" s="79">
        <f t="shared" si="11"/>
        <v>4337.63</v>
      </c>
      <c r="X29" s="86">
        <v>3429</v>
      </c>
    </row>
    <row r="30" spans="1:24" ht="12.75" x14ac:dyDescent="0.2">
      <c r="A30" s="710"/>
      <c r="B30" s="14" t="s">
        <v>210</v>
      </c>
      <c r="C30" s="7" t="s">
        <v>95</v>
      </c>
      <c r="D30" s="44" t="s">
        <v>283</v>
      </c>
      <c r="E30" s="5">
        <v>21</v>
      </c>
      <c r="F30" s="3">
        <v>0.2</v>
      </c>
      <c r="G30" s="3"/>
      <c r="H30" s="13">
        <v>0</v>
      </c>
      <c r="I30" s="29">
        <f t="shared" si="8"/>
        <v>0</v>
      </c>
      <c r="J30" s="30">
        <f t="shared" si="9"/>
        <v>0</v>
      </c>
      <c r="K30" s="93">
        <f t="shared" si="0"/>
        <v>11850</v>
      </c>
      <c r="L30" s="93">
        <f t="shared" si="1"/>
        <v>8690</v>
      </c>
      <c r="M30" s="93">
        <f t="shared" si="2"/>
        <v>8295</v>
      </c>
      <c r="N30" s="64">
        <v>7900</v>
      </c>
      <c r="O30" s="69">
        <v>3956.7</v>
      </c>
      <c r="P30" s="62">
        <f t="shared" si="3"/>
        <v>3943.3</v>
      </c>
      <c r="R30" s="105">
        <f t="shared" si="4"/>
        <v>13035</v>
      </c>
      <c r="S30" s="105">
        <f t="shared" si="5"/>
        <v>9559</v>
      </c>
      <c r="T30" s="105">
        <f t="shared" si="6"/>
        <v>9124.5</v>
      </c>
      <c r="U30" s="75">
        <f t="shared" si="7"/>
        <v>8690</v>
      </c>
      <c r="V30" s="108">
        <f t="shared" si="10"/>
        <v>4352.37</v>
      </c>
      <c r="W30" s="79">
        <f t="shared" si="11"/>
        <v>4337.63</v>
      </c>
      <c r="X30" s="86">
        <v>3429</v>
      </c>
    </row>
    <row r="31" spans="1:24" ht="12.75" x14ac:dyDescent="0.2">
      <c r="A31" s="710"/>
      <c r="B31" s="14" t="s">
        <v>215</v>
      </c>
      <c r="C31" s="7" t="s">
        <v>95</v>
      </c>
      <c r="D31" s="44" t="s">
        <v>283</v>
      </c>
      <c r="E31" s="5">
        <v>21</v>
      </c>
      <c r="F31" s="3">
        <v>0.2</v>
      </c>
      <c r="G31" s="3"/>
      <c r="H31" s="13">
        <v>0</v>
      </c>
      <c r="I31" s="29">
        <f t="shared" si="8"/>
        <v>0</v>
      </c>
      <c r="J31" s="30">
        <f t="shared" si="9"/>
        <v>0</v>
      </c>
      <c r="K31" s="93">
        <f t="shared" si="0"/>
        <v>11250</v>
      </c>
      <c r="L31" s="93">
        <f t="shared" si="1"/>
        <v>8250</v>
      </c>
      <c r="M31" s="93">
        <f t="shared" si="2"/>
        <v>7875</v>
      </c>
      <c r="N31" s="64">
        <v>7500</v>
      </c>
      <c r="O31" s="69">
        <v>3556.7</v>
      </c>
      <c r="P31" s="62">
        <f t="shared" si="3"/>
        <v>3943.3</v>
      </c>
      <c r="R31" s="105">
        <f t="shared" si="4"/>
        <v>12375</v>
      </c>
      <c r="S31" s="105">
        <f t="shared" si="5"/>
        <v>9075</v>
      </c>
      <c r="T31" s="105">
        <f t="shared" si="6"/>
        <v>8662.5</v>
      </c>
      <c r="U31" s="75">
        <f t="shared" si="7"/>
        <v>8250</v>
      </c>
      <c r="V31" s="108">
        <f t="shared" si="10"/>
        <v>3912.37</v>
      </c>
      <c r="W31" s="79">
        <f t="shared" si="11"/>
        <v>4337.63</v>
      </c>
      <c r="X31" s="86">
        <v>3429</v>
      </c>
    </row>
    <row r="32" spans="1:24" ht="12.75" x14ac:dyDescent="0.2">
      <c r="A32" s="710"/>
      <c r="B32" s="14" t="s">
        <v>216</v>
      </c>
      <c r="C32" s="7" t="s">
        <v>95</v>
      </c>
      <c r="D32" s="44" t="s">
        <v>283</v>
      </c>
      <c r="E32" s="5">
        <v>21</v>
      </c>
      <c r="F32" s="3">
        <v>0.2</v>
      </c>
      <c r="G32" s="3"/>
      <c r="H32" s="13">
        <v>0</v>
      </c>
      <c r="I32" s="29">
        <f t="shared" si="8"/>
        <v>0</v>
      </c>
      <c r="J32" s="30">
        <f t="shared" si="9"/>
        <v>0</v>
      </c>
      <c r="K32" s="93">
        <f t="shared" si="0"/>
        <v>11850</v>
      </c>
      <c r="L32" s="93">
        <f t="shared" si="1"/>
        <v>8690</v>
      </c>
      <c r="M32" s="93">
        <f t="shared" si="2"/>
        <v>8295</v>
      </c>
      <c r="N32" s="64">
        <v>7900</v>
      </c>
      <c r="O32" s="69">
        <v>3956.7</v>
      </c>
      <c r="P32" s="62">
        <f t="shared" si="3"/>
        <v>3943.3</v>
      </c>
      <c r="R32" s="105">
        <f t="shared" si="4"/>
        <v>13035</v>
      </c>
      <c r="S32" s="105">
        <f t="shared" si="5"/>
        <v>9559</v>
      </c>
      <c r="T32" s="105">
        <f t="shared" si="6"/>
        <v>9124.5</v>
      </c>
      <c r="U32" s="75">
        <f t="shared" si="7"/>
        <v>8690</v>
      </c>
      <c r="V32" s="108">
        <f t="shared" si="10"/>
        <v>4352.37</v>
      </c>
      <c r="W32" s="79">
        <f t="shared" si="11"/>
        <v>4337.63</v>
      </c>
      <c r="X32" s="86">
        <v>3429</v>
      </c>
    </row>
    <row r="33" spans="1:24" ht="12.75" x14ac:dyDescent="0.2">
      <c r="A33" s="710"/>
      <c r="B33" s="14" t="s">
        <v>222</v>
      </c>
      <c r="C33" s="7" t="s">
        <v>95</v>
      </c>
      <c r="D33" s="44" t="s">
        <v>283</v>
      </c>
      <c r="E33" s="5">
        <v>21</v>
      </c>
      <c r="F33" s="3">
        <v>0.2</v>
      </c>
      <c r="G33" s="3"/>
      <c r="H33" s="13">
        <v>0</v>
      </c>
      <c r="I33" s="29">
        <f t="shared" si="8"/>
        <v>0</v>
      </c>
      <c r="J33" s="30">
        <f t="shared" si="9"/>
        <v>0</v>
      </c>
      <c r="K33" s="93">
        <f t="shared" si="0"/>
        <v>11250</v>
      </c>
      <c r="L33" s="93">
        <f t="shared" si="1"/>
        <v>8250</v>
      </c>
      <c r="M33" s="93">
        <f t="shared" si="2"/>
        <v>7875</v>
      </c>
      <c r="N33" s="64">
        <v>7500</v>
      </c>
      <c r="O33" s="69">
        <v>3556.7</v>
      </c>
      <c r="P33" s="62">
        <f t="shared" si="3"/>
        <v>3943.3</v>
      </c>
      <c r="R33" s="105">
        <f t="shared" si="4"/>
        <v>12375</v>
      </c>
      <c r="S33" s="105">
        <f t="shared" si="5"/>
        <v>9075</v>
      </c>
      <c r="T33" s="105">
        <f t="shared" si="6"/>
        <v>8662.5</v>
      </c>
      <c r="U33" s="75">
        <f t="shared" si="7"/>
        <v>8250</v>
      </c>
      <c r="V33" s="108">
        <f t="shared" si="10"/>
        <v>3912.37</v>
      </c>
      <c r="W33" s="79">
        <f t="shared" si="11"/>
        <v>4337.63</v>
      </c>
      <c r="X33" s="86">
        <v>3429</v>
      </c>
    </row>
    <row r="34" spans="1:24" ht="12.75" x14ac:dyDescent="0.2">
      <c r="A34" s="710"/>
      <c r="B34" s="14" t="s">
        <v>223</v>
      </c>
      <c r="C34" s="7" t="s">
        <v>95</v>
      </c>
      <c r="D34" s="44" t="s">
        <v>283</v>
      </c>
      <c r="E34" s="5">
        <v>21</v>
      </c>
      <c r="F34" s="3">
        <v>0.2</v>
      </c>
      <c r="G34" s="3"/>
      <c r="H34" s="13">
        <v>0</v>
      </c>
      <c r="I34" s="29">
        <f t="shared" si="8"/>
        <v>0</v>
      </c>
      <c r="J34" s="30">
        <f t="shared" si="9"/>
        <v>0</v>
      </c>
      <c r="K34" s="93">
        <f t="shared" si="0"/>
        <v>11850</v>
      </c>
      <c r="L34" s="93">
        <f t="shared" si="1"/>
        <v>8690</v>
      </c>
      <c r="M34" s="93">
        <f t="shared" si="2"/>
        <v>8295</v>
      </c>
      <c r="N34" s="64">
        <v>7900</v>
      </c>
      <c r="O34" s="69">
        <v>3956.7</v>
      </c>
      <c r="P34" s="62">
        <f t="shared" si="3"/>
        <v>3943.3</v>
      </c>
      <c r="R34" s="105">
        <f t="shared" si="4"/>
        <v>13035</v>
      </c>
      <c r="S34" s="105">
        <f t="shared" si="5"/>
        <v>9559</v>
      </c>
      <c r="T34" s="105">
        <f t="shared" si="6"/>
        <v>9124.5</v>
      </c>
      <c r="U34" s="75">
        <f t="shared" si="7"/>
        <v>8690</v>
      </c>
      <c r="V34" s="108">
        <f t="shared" si="10"/>
        <v>4352.37</v>
      </c>
      <c r="W34" s="79">
        <f t="shared" si="11"/>
        <v>4337.63</v>
      </c>
      <c r="X34" s="86">
        <v>3429</v>
      </c>
    </row>
    <row r="35" spans="1:24" ht="12.75" x14ac:dyDescent="0.2">
      <c r="A35" s="710" t="s">
        <v>149</v>
      </c>
      <c r="B35" s="14" t="s">
        <v>24</v>
      </c>
      <c r="C35" s="8" t="s">
        <v>6</v>
      </c>
      <c r="D35" s="8"/>
      <c r="E35" s="5">
        <v>12.5</v>
      </c>
      <c r="F35" s="3">
        <v>9.5000000000000001E-2</v>
      </c>
      <c r="G35" s="3">
        <v>10</v>
      </c>
      <c r="H35" s="13">
        <v>0</v>
      </c>
      <c r="I35" s="29">
        <f t="shared" si="8"/>
        <v>0</v>
      </c>
      <c r="J35" s="30">
        <f t="shared" si="9"/>
        <v>0</v>
      </c>
      <c r="K35" s="93">
        <f t="shared" si="0"/>
        <v>3525</v>
      </c>
      <c r="L35" s="93">
        <f t="shared" si="1"/>
        <v>2585</v>
      </c>
      <c r="M35" s="93">
        <f t="shared" si="2"/>
        <v>2467.5</v>
      </c>
      <c r="N35" s="64">
        <v>2350</v>
      </c>
      <c r="O35" s="69"/>
      <c r="P35" s="62">
        <f t="shared" si="3"/>
        <v>2350</v>
      </c>
      <c r="R35" s="105">
        <f t="shared" si="4"/>
        <v>3877.5</v>
      </c>
      <c r="S35" s="105">
        <f t="shared" si="5"/>
        <v>2843.5000000000005</v>
      </c>
      <c r="T35" s="105">
        <f t="shared" si="6"/>
        <v>2714.25</v>
      </c>
      <c r="U35" s="75">
        <f t="shared" si="7"/>
        <v>2585</v>
      </c>
      <c r="V35" s="108"/>
      <c r="W35" s="79"/>
      <c r="X35" s="86"/>
    </row>
    <row r="36" spans="1:24" ht="12.75" x14ac:dyDescent="0.2">
      <c r="A36" s="710"/>
      <c r="B36" s="14" t="s">
        <v>25</v>
      </c>
      <c r="C36" s="8" t="s">
        <v>7</v>
      </c>
      <c r="D36" s="8"/>
      <c r="E36" s="5">
        <v>14.5</v>
      </c>
      <c r="F36" s="3">
        <v>0.09</v>
      </c>
      <c r="G36" s="3">
        <v>10</v>
      </c>
      <c r="H36" s="13">
        <v>0</v>
      </c>
      <c r="I36" s="29">
        <f t="shared" si="8"/>
        <v>0</v>
      </c>
      <c r="J36" s="30">
        <f t="shared" si="9"/>
        <v>0</v>
      </c>
      <c r="K36" s="93">
        <f t="shared" si="0"/>
        <v>3750</v>
      </c>
      <c r="L36" s="93">
        <f t="shared" si="1"/>
        <v>2750</v>
      </c>
      <c r="M36" s="93">
        <f t="shared" si="2"/>
        <v>2625</v>
      </c>
      <c r="N36" s="64">
        <v>2500</v>
      </c>
      <c r="O36" s="69"/>
      <c r="P36" s="62">
        <f t="shared" si="3"/>
        <v>2500</v>
      </c>
      <c r="R36" s="105">
        <f t="shared" si="4"/>
        <v>4125</v>
      </c>
      <c r="S36" s="105">
        <f t="shared" si="5"/>
        <v>3025.0000000000005</v>
      </c>
      <c r="T36" s="105">
        <f t="shared" si="6"/>
        <v>2887.5</v>
      </c>
      <c r="U36" s="75">
        <f t="shared" si="7"/>
        <v>2750</v>
      </c>
      <c r="V36" s="108"/>
      <c r="W36" s="79"/>
      <c r="X36" s="86"/>
    </row>
    <row r="37" spans="1:24" ht="12.75" x14ac:dyDescent="0.2">
      <c r="A37" s="710"/>
      <c r="B37" s="14" t="s">
        <v>26</v>
      </c>
      <c r="C37" s="8" t="s">
        <v>8</v>
      </c>
      <c r="D37" s="8"/>
      <c r="E37" s="5">
        <v>16</v>
      </c>
      <c r="F37" s="3">
        <v>0.12</v>
      </c>
      <c r="G37" s="3">
        <v>10</v>
      </c>
      <c r="H37" s="13">
        <v>0</v>
      </c>
      <c r="I37" s="29">
        <f t="shared" si="8"/>
        <v>0</v>
      </c>
      <c r="J37" s="30">
        <f t="shared" si="9"/>
        <v>0</v>
      </c>
      <c r="K37" s="93">
        <f t="shared" si="0"/>
        <v>4050</v>
      </c>
      <c r="L37" s="93">
        <f t="shared" si="1"/>
        <v>2970.0000000000005</v>
      </c>
      <c r="M37" s="93">
        <f t="shared" si="2"/>
        <v>2835</v>
      </c>
      <c r="N37" s="64">
        <v>2700</v>
      </c>
      <c r="O37" s="69"/>
      <c r="P37" s="62">
        <f t="shared" si="3"/>
        <v>2700</v>
      </c>
      <c r="R37" s="105">
        <f t="shared" si="4"/>
        <v>4455.0000000000009</v>
      </c>
      <c r="S37" s="105">
        <f t="shared" si="5"/>
        <v>3267.0000000000009</v>
      </c>
      <c r="T37" s="105">
        <f t="shared" si="6"/>
        <v>3118.5000000000005</v>
      </c>
      <c r="U37" s="75">
        <f t="shared" si="7"/>
        <v>2970.0000000000005</v>
      </c>
      <c r="V37" s="108"/>
      <c r="W37" s="79"/>
      <c r="X37" s="86"/>
    </row>
    <row r="38" spans="1:24" ht="12.75" customHeight="1" x14ac:dyDescent="0.2">
      <c r="A38" s="714" t="s">
        <v>304</v>
      </c>
      <c r="B38" s="14" t="s">
        <v>332</v>
      </c>
      <c r="C38" s="35" t="s">
        <v>443</v>
      </c>
      <c r="D38" s="35"/>
      <c r="E38" s="36">
        <v>6</v>
      </c>
      <c r="F38" s="3">
        <v>9.5000000000000001E-2</v>
      </c>
      <c r="G38" s="34">
        <v>10</v>
      </c>
      <c r="H38" s="13">
        <v>0</v>
      </c>
      <c r="I38" s="38"/>
      <c r="J38" s="39"/>
      <c r="K38" s="94">
        <f t="shared" si="0"/>
        <v>2250</v>
      </c>
      <c r="L38" s="94">
        <f t="shared" si="1"/>
        <v>1650.0000000000002</v>
      </c>
      <c r="M38" s="94">
        <f t="shared" si="2"/>
        <v>1575</v>
      </c>
      <c r="N38" s="64">
        <v>1500</v>
      </c>
      <c r="O38" s="69"/>
      <c r="P38" s="62">
        <f t="shared" si="3"/>
        <v>1500</v>
      </c>
      <c r="R38" s="105">
        <f t="shared" si="4"/>
        <v>2475.0000000000005</v>
      </c>
      <c r="S38" s="105">
        <f t="shared" si="5"/>
        <v>1815.0000000000005</v>
      </c>
      <c r="T38" s="105">
        <f t="shared" si="6"/>
        <v>1732.5000000000002</v>
      </c>
      <c r="U38" s="75">
        <f t="shared" si="7"/>
        <v>1650.0000000000002</v>
      </c>
      <c r="V38" s="108"/>
      <c r="W38" s="79"/>
      <c r="X38" s="86"/>
    </row>
    <row r="39" spans="1:24" ht="12.75" customHeight="1" x14ac:dyDescent="0.2">
      <c r="A39" s="715"/>
      <c r="B39" s="14" t="s">
        <v>333</v>
      </c>
      <c r="C39" s="35" t="s">
        <v>443</v>
      </c>
      <c r="D39" s="35"/>
      <c r="E39" s="36">
        <v>6</v>
      </c>
      <c r="F39" s="3">
        <v>9.5000000000000001E-2</v>
      </c>
      <c r="G39" s="34">
        <v>10</v>
      </c>
      <c r="H39" s="13">
        <v>0</v>
      </c>
      <c r="I39" s="38"/>
      <c r="J39" s="39"/>
      <c r="K39" s="94">
        <f t="shared" si="0"/>
        <v>2250</v>
      </c>
      <c r="L39" s="94">
        <f t="shared" si="1"/>
        <v>1650.0000000000002</v>
      </c>
      <c r="M39" s="94">
        <f t="shared" si="2"/>
        <v>1575</v>
      </c>
      <c r="N39" s="64">
        <v>1500</v>
      </c>
      <c r="O39" s="69"/>
      <c r="P39" s="62">
        <f t="shared" si="3"/>
        <v>1500</v>
      </c>
      <c r="R39" s="105">
        <f t="shared" si="4"/>
        <v>2475.0000000000005</v>
      </c>
      <c r="S39" s="105">
        <f t="shared" si="5"/>
        <v>1815.0000000000005</v>
      </c>
      <c r="T39" s="105">
        <f t="shared" si="6"/>
        <v>1732.5000000000002</v>
      </c>
      <c r="U39" s="75">
        <f t="shared" si="7"/>
        <v>1650.0000000000002</v>
      </c>
      <c r="V39" s="108"/>
      <c r="W39" s="79"/>
      <c r="X39" s="86"/>
    </row>
    <row r="40" spans="1:24" ht="12.75" customHeight="1" x14ac:dyDescent="0.2">
      <c r="A40" s="715"/>
      <c r="B40" s="14" t="s">
        <v>334</v>
      </c>
      <c r="C40" s="35" t="s">
        <v>443</v>
      </c>
      <c r="D40" s="35"/>
      <c r="E40" s="36">
        <v>6</v>
      </c>
      <c r="F40" s="3">
        <v>9.5000000000000001E-2</v>
      </c>
      <c r="G40" s="34">
        <v>10</v>
      </c>
      <c r="H40" s="13">
        <v>0</v>
      </c>
      <c r="I40" s="38"/>
      <c r="J40" s="39"/>
      <c r="K40" s="94">
        <f t="shared" si="0"/>
        <v>2250</v>
      </c>
      <c r="L40" s="94">
        <f t="shared" si="1"/>
        <v>1650.0000000000002</v>
      </c>
      <c r="M40" s="94">
        <f t="shared" si="2"/>
        <v>1575</v>
      </c>
      <c r="N40" s="64">
        <v>1500</v>
      </c>
      <c r="O40" s="69"/>
      <c r="P40" s="62">
        <f t="shared" si="3"/>
        <v>1500</v>
      </c>
      <c r="R40" s="105">
        <f t="shared" si="4"/>
        <v>2475.0000000000005</v>
      </c>
      <c r="S40" s="105">
        <f t="shared" si="5"/>
        <v>1815.0000000000005</v>
      </c>
      <c r="T40" s="105">
        <f t="shared" si="6"/>
        <v>1732.5000000000002</v>
      </c>
      <c r="U40" s="75">
        <f t="shared" si="7"/>
        <v>1650.0000000000002</v>
      </c>
      <c r="V40" s="108"/>
      <c r="W40" s="79"/>
      <c r="X40" s="86"/>
    </row>
    <row r="41" spans="1:24" ht="12.75" customHeight="1" x14ac:dyDescent="0.2">
      <c r="A41" s="715"/>
      <c r="B41" s="14" t="s">
        <v>336</v>
      </c>
      <c r="C41" s="35" t="s">
        <v>443</v>
      </c>
      <c r="D41" s="35"/>
      <c r="E41" s="36">
        <v>6</v>
      </c>
      <c r="F41" s="3">
        <v>9.5000000000000001E-2</v>
      </c>
      <c r="G41" s="34">
        <v>10</v>
      </c>
      <c r="H41" s="13">
        <v>0</v>
      </c>
      <c r="I41" s="38"/>
      <c r="J41" s="39"/>
      <c r="K41" s="94">
        <f t="shared" si="0"/>
        <v>2250</v>
      </c>
      <c r="L41" s="94">
        <f t="shared" si="1"/>
        <v>1650.0000000000002</v>
      </c>
      <c r="M41" s="94">
        <f t="shared" si="2"/>
        <v>1575</v>
      </c>
      <c r="N41" s="64">
        <v>1500</v>
      </c>
      <c r="O41" s="69"/>
      <c r="P41" s="62">
        <f t="shared" si="3"/>
        <v>1500</v>
      </c>
      <c r="R41" s="105">
        <f t="shared" si="4"/>
        <v>2475.0000000000005</v>
      </c>
      <c r="S41" s="105">
        <f t="shared" si="5"/>
        <v>1815.0000000000005</v>
      </c>
      <c r="T41" s="105">
        <f t="shared" si="6"/>
        <v>1732.5000000000002</v>
      </c>
      <c r="U41" s="75">
        <f t="shared" si="7"/>
        <v>1650.0000000000002</v>
      </c>
      <c r="V41" s="108"/>
      <c r="W41" s="79"/>
      <c r="X41" s="86"/>
    </row>
    <row r="42" spans="1:24" ht="12.75" customHeight="1" x14ac:dyDescent="0.2">
      <c r="A42" s="715"/>
      <c r="B42" s="14" t="s">
        <v>446</v>
      </c>
      <c r="C42" s="35" t="s">
        <v>447</v>
      </c>
      <c r="D42" s="35"/>
      <c r="E42" s="36"/>
      <c r="F42" s="34"/>
      <c r="G42" s="34"/>
      <c r="H42" s="37"/>
      <c r="I42" s="38"/>
      <c r="J42" s="81"/>
      <c r="K42" s="94">
        <f t="shared" si="0"/>
        <v>6300</v>
      </c>
      <c r="L42" s="94">
        <f t="shared" si="1"/>
        <v>4620</v>
      </c>
      <c r="M42" s="94">
        <f t="shared" si="2"/>
        <v>4410</v>
      </c>
      <c r="N42" s="82">
        <v>4200</v>
      </c>
      <c r="O42" s="83"/>
      <c r="P42" s="84">
        <f>N42-O42</f>
        <v>4200</v>
      </c>
      <c r="Q42" s="101"/>
      <c r="R42" s="106">
        <f t="shared" si="4"/>
        <v>6930</v>
      </c>
      <c r="S42" s="106">
        <f t="shared" si="5"/>
        <v>5082</v>
      </c>
      <c r="T42" s="106">
        <f t="shared" si="6"/>
        <v>4851</v>
      </c>
      <c r="U42" s="85">
        <f t="shared" si="7"/>
        <v>4620</v>
      </c>
      <c r="V42" s="108">
        <f>O42*1.1</f>
        <v>0</v>
      </c>
      <c r="W42" s="89">
        <f>U42-V42</f>
        <v>4620</v>
      </c>
      <c r="X42" s="90"/>
    </row>
    <row r="43" spans="1:24" ht="12.75" customHeight="1" x14ac:dyDescent="0.2">
      <c r="A43" s="715"/>
      <c r="B43" s="14" t="s">
        <v>397</v>
      </c>
      <c r="C43" s="35" t="s">
        <v>84</v>
      </c>
      <c r="D43" s="35"/>
      <c r="E43" s="36">
        <v>34</v>
      </c>
      <c r="F43" s="34">
        <v>0.2</v>
      </c>
      <c r="G43" s="34">
        <v>6</v>
      </c>
      <c r="H43" s="13">
        <v>0</v>
      </c>
      <c r="I43" s="29">
        <f>H43*E43</f>
        <v>0</v>
      </c>
      <c r="J43" s="30">
        <f>F43*H43</f>
        <v>0</v>
      </c>
      <c r="K43" s="93">
        <f t="shared" si="0"/>
        <v>9450</v>
      </c>
      <c r="L43" s="93">
        <f t="shared" si="1"/>
        <v>6930.0000000000009</v>
      </c>
      <c r="M43" s="93">
        <f t="shared" si="2"/>
        <v>6615</v>
      </c>
      <c r="N43" s="64">
        <v>6300</v>
      </c>
      <c r="O43" s="69"/>
      <c r="P43" s="62">
        <f t="shared" si="3"/>
        <v>6300</v>
      </c>
      <c r="R43" s="105">
        <f t="shared" si="4"/>
        <v>10395.000000000002</v>
      </c>
      <c r="S43" s="105">
        <f t="shared" si="5"/>
        <v>7623.0000000000018</v>
      </c>
      <c r="T43" s="105">
        <f t="shared" si="6"/>
        <v>7276.5000000000009</v>
      </c>
      <c r="U43" s="75">
        <f t="shared" si="7"/>
        <v>6930.0000000000009</v>
      </c>
      <c r="V43" s="108"/>
      <c r="W43" s="79"/>
      <c r="X43" s="86"/>
    </row>
    <row r="44" spans="1:24" s="26" customFormat="1" ht="12.75" customHeight="1" x14ac:dyDescent="0.2">
      <c r="A44" s="715"/>
      <c r="B44" s="14" t="s">
        <v>398</v>
      </c>
      <c r="C44" s="35" t="s">
        <v>84</v>
      </c>
      <c r="D44" s="35"/>
      <c r="E44" s="36">
        <v>34</v>
      </c>
      <c r="F44" s="34">
        <v>0.2</v>
      </c>
      <c r="G44" s="34">
        <v>6</v>
      </c>
      <c r="H44" s="13">
        <v>0</v>
      </c>
      <c r="I44" s="29">
        <f>H44*E44</f>
        <v>0</v>
      </c>
      <c r="J44" s="30">
        <f>F44*H44</f>
        <v>0</v>
      </c>
      <c r="K44" s="93">
        <f t="shared" si="0"/>
        <v>9450</v>
      </c>
      <c r="L44" s="93">
        <f t="shared" si="1"/>
        <v>6930.0000000000009</v>
      </c>
      <c r="M44" s="93">
        <f t="shared" si="2"/>
        <v>6615</v>
      </c>
      <c r="N44" s="64">
        <v>6300</v>
      </c>
      <c r="O44" s="69"/>
      <c r="P44" s="62">
        <f t="shared" si="3"/>
        <v>6300</v>
      </c>
      <c r="Q44" s="99"/>
      <c r="R44" s="105">
        <f t="shared" si="4"/>
        <v>10395.000000000002</v>
      </c>
      <c r="S44" s="105">
        <f t="shared" si="5"/>
        <v>7623.0000000000018</v>
      </c>
      <c r="T44" s="105">
        <f t="shared" si="6"/>
        <v>7276.5000000000009</v>
      </c>
      <c r="U44" s="75">
        <f t="shared" si="7"/>
        <v>6930.0000000000009</v>
      </c>
      <c r="V44" s="108"/>
      <c r="W44" s="79"/>
      <c r="X44" s="86"/>
    </row>
    <row r="45" spans="1:24" ht="12.75" customHeight="1" x14ac:dyDescent="0.2">
      <c r="A45" s="715"/>
      <c r="B45" s="14" t="s">
        <v>400</v>
      </c>
      <c r="C45" s="35" t="s">
        <v>84</v>
      </c>
      <c r="D45" s="35"/>
      <c r="E45" s="36">
        <v>34</v>
      </c>
      <c r="F45" s="34">
        <v>0.2</v>
      </c>
      <c r="G45" s="34">
        <v>6</v>
      </c>
      <c r="H45" s="13">
        <v>0</v>
      </c>
      <c r="I45" s="29">
        <f>H45*E45</f>
        <v>0</v>
      </c>
      <c r="J45" s="30">
        <f>F45*H45</f>
        <v>0</v>
      </c>
      <c r="K45" s="93">
        <f t="shared" si="0"/>
        <v>9450</v>
      </c>
      <c r="L45" s="93">
        <f t="shared" si="1"/>
        <v>6930.0000000000009</v>
      </c>
      <c r="M45" s="93">
        <f t="shared" si="2"/>
        <v>6615</v>
      </c>
      <c r="N45" s="64">
        <v>6300</v>
      </c>
      <c r="O45" s="69"/>
      <c r="P45" s="62">
        <f t="shared" si="3"/>
        <v>6300</v>
      </c>
      <c r="R45" s="105">
        <f t="shared" si="4"/>
        <v>10395.000000000002</v>
      </c>
      <c r="S45" s="105">
        <f t="shared" si="5"/>
        <v>7623.0000000000018</v>
      </c>
      <c r="T45" s="105">
        <f t="shared" si="6"/>
        <v>7276.5000000000009</v>
      </c>
      <c r="U45" s="75">
        <f t="shared" si="7"/>
        <v>6930.0000000000009</v>
      </c>
      <c r="V45" s="108"/>
      <c r="W45" s="79"/>
      <c r="X45" s="86"/>
    </row>
    <row r="46" spans="1:24" ht="12.75" customHeight="1" x14ac:dyDescent="0.2">
      <c r="A46" s="715"/>
      <c r="B46" s="14" t="s">
        <v>399</v>
      </c>
      <c r="C46" s="35" t="s">
        <v>84</v>
      </c>
      <c r="D46" s="35"/>
      <c r="E46" s="36">
        <v>34</v>
      </c>
      <c r="F46" s="34">
        <v>0.2</v>
      </c>
      <c r="G46" s="34">
        <v>6</v>
      </c>
      <c r="H46" s="13">
        <v>0</v>
      </c>
      <c r="I46" s="29">
        <f>H46*E46</f>
        <v>0</v>
      </c>
      <c r="J46" s="30">
        <f>F46*H46</f>
        <v>0</v>
      </c>
      <c r="K46" s="93">
        <f t="shared" si="0"/>
        <v>9450</v>
      </c>
      <c r="L46" s="93">
        <f t="shared" si="1"/>
        <v>6930.0000000000009</v>
      </c>
      <c r="M46" s="93">
        <f t="shared" si="2"/>
        <v>6615</v>
      </c>
      <c r="N46" s="64">
        <v>6300</v>
      </c>
      <c r="O46" s="69"/>
      <c r="P46" s="62">
        <f t="shared" si="3"/>
        <v>6300</v>
      </c>
      <c r="R46" s="105">
        <f t="shared" si="4"/>
        <v>10395.000000000002</v>
      </c>
      <c r="S46" s="105">
        <f t="shared" si="5"/>
        <v>7623.0000000000018</v>
      </c>
      <c r="T46" s="105">
        <f t="shared" si="6"/>
        <v>7276.5000000000009</v>
      </c>
      <c r="U46" s="75">
        <f t="shared" si="7"/>
        <v>6930.0000000000009</v>
      </c>
      <c r="V46" s="108"/>
      <c r="W46" s="79"/>
      <c r="X46" s="86"/>
    </row>
    <row r="47" spans="1:24" ht="12.75" customHeight="1" x14ac:dyDescent="0.2">
      <c r="A47" s="715"/>
      <c r="B47" s="14" t="s">
        <v>397</v>
      </c>
      <c r="C47" s="35" t="s">
        <v>84</v>
      </c>
      <c r="D47" s="35"/>
      <c r="E47" s="36"/>
      <c r="F47" s="34"/>
      <c r="G47" s="34"/>
      <c r="H47" s="37"/>
      <c r="I47" s="38"/>
      <c r="J47" s="81"/>
      <c r="K47" s="94">
        <f t="shared" si="0"/>
        <v>9450</v>
      </c>
      <c r="L47" s="94">
        <f t="shared" si="1"/>
        <v>6930.0000000000009</v>
      </c>
      <c r="M47" s="94">
        <f t="shared" si="2"/>
        <v>6615</v>
      </c>
      <c r="N47" s="82">
        <v>6300</v>
      </c>
      <c r="O47" s="83"/>
      <c r="P47" s="84">
        <f>N47-O47</f>
        <v>6300</v>
      </c>
      <c r="Q47" s="101"/>
      <c r="R47" s="106">
        <f t="shared" si="4"/>
        <v>10395.000000000002</v>
      </c>
      <c r="S47" s="106">
        <f t="shared" si="5"/>
        <v>7623.0000000000018</v>
      </c>
      <c r="T47" s="106">
        <f t="shared" si="6"/>
        <v>7276.5000000000009</v>
      </c>
      <c r="U47" s="85">
        <f t="shared" si="7"/>
        <v>6930.0000000000009</v>
      </c>
      <c r="V47" s="108"/>
      <c r="W47" s="77"/>
      <c r="X47" s="86"/>
    </row>
    <row r="48" spans="1:24" ht="12.75" customHeight="1" x14ac:dyDescent="0.2">
      <c r="A48" s="715"/>
      <c r="B48" s="14" t="s">
        <v>398</v>
      </c>
      <c r="C48" s="35" t="s">
        <v>84</v>
      </c>
      <c r="D48" s="35"/>
      <c r="E48" s="36"/>
      <c r="F48" s="34"/>
      <c r="G48" s="34"/>
      <c r="H48" s="37"/>
      <c r="I48" s="38"/>
      <c r="J48" s="81"/>
      <c r="K48" s="94">
        <f t="shared" si="0"/>
        <v>9450</v>
      </c>
      <c r="L48" s="94">
        <f t="shared" si="1"/>
        <v>6930.0000000000009</v>
      </c>
      <c r="M48" s="94">
        <f t="shared" si="2"/>
        <v>6615</v>
      </c>
      <c r="N48" s="82">
        <v>6300</v>
      </c>
      <c r="O48" s="83"/>
      <c r="P48" s="84">
        <f>N48-O48</f>
        <v>6300</v>
      </c>
      <c r="Q48" s="101"/>
      <c r="R48" s="106">
        <f t="shared" si="4"/>
        <v>10395.000000000002</v>
      </c>
      <c r="S48" s="106">
        <f t="shared" si="5"/>
        <v>7623.0000000000018</v>
      </c>
      <c r="T48" s="106">
        <f t="shared" si="6"/>
        <v>7276.5000000000009</v>
      </c>
      <c r="U48" s="85">
        <f t="shared" si="7"/>
        <v>6930.0000000000009</v>
      </c>
      <c r="V48" s="108"/>
      <c r="W48" s="77"/>
      <c r="X48" s="86"/>
    </row>
    <row r="49" spans="1:24" ht="12.75" customHeight="1" x14ac:dyDescent="0.2">
      <c r="A49" s="715"/>
      <c r="B49" s="14" t="s">
        <v>400</v>
      </c>
      <c r="C49" s="35" t="s">
        <v>84</v>
      </c>
      <c r="D49" s="35"/>
      <c r="E49" s="36"/>
      <c r="F49" s="34"/>
      <c r="G49" s="34"/>
      <c r="H49" s="37"/>
      <c r="I49" s="38"/>
      <c r="J49" s="81"/>
      <c r="K49" s="94">
        <f t="shared" si="0"/>
        <v>9450</v>
      </c>
      <c r="L49" s="94">
        <f t="shared" si="1"/>
        <v>6930.0000000000009</v>
      </c>
      <c r="M49" s="94">
        <f t="shared" si="2"/>
        <v>6615</v>
      </c>
      <c r="N49" s="82">
        <v>6300</v>
      </c>
      <c r="O49" s="83"/>
      <c r="P49" s="84">
        <f>N49-O49</f>
        <v>6300</v>
      </c>
      <c r="Q49" s="101"/>
      <c r="R49" s="106">
        <f t="shared" si="4"/>
        <v>10395.000000000002</v>
      </c>
      <c r="S49" s="106">
        <f t="shared" si="5"/>
        <v>7623.0000000000018</v>
      </c>
      <c r="T49" s="106">
        <f t="shared" si="6"/>
        <v>7276.5000000000009</v>
      </c>
      <c r="U49" s="85">
        <f t="shared" si="7"/>
        <v>6930.0000000000009</v>
      </c>
      <c r="V49" s="108"/>
      <c r="W49" s="77"/>
      <c r="X49" s="86"/>
    </row>
    <row r="50" spans="1:24" ht="12.75" customHeight="1" x14ac:dyDescent="0.2">
      <c r="A50" s="715"/>
      <c r="B50" s="14" t="s">
        <v>399</v>
      </c>
      <c r="C50" s="35" t="s">
        <v>84</v>
      </c>
      <c r="D50" s="35"/>
      <c r="E50" s="36"/>
      <c r="F50" s="34"/>
      <c r="G50" s="34"/>
      <c r="H50" s="37"/>
      <c r="I50" s="38"/>
      <c r="J50" s="81"/>
      <c r="K50" s="94">
        <f t="shared" si="0"/>
        <v>9450</v>
      </c>
      <c r="L50" s="94">
        <f t="shared" si="1"/>
        <v>6930.0000000000009</v>
      </c>
      <c r="M50" s="94">
        <f t="shared" si="2"/>
        <v>6615</v>
      </c>
      <c r="N50" s="82">
        <v>6300</v>
      </c>
      <c r="O50" s="83"/>
      <c r="P50" s="84">
        <f>N50-O50</f>
        <v>6300</v>
      </c>
      <c r="Q50" s="101"/>
      <c r="R50" s="106">
        <f t="shared" si="4"/>
        <v>10395.000000000002</v>
      </c>
      <c r="S50" s="106">
        <f t="shared" si="5"/>
        <v>7623.0000000000018</v>
      </c>
      <c r="T50" s="106">
        <f t="shared" si="6"/>
        <v>7276.5000000000009</v>
      </c>
      <c r="U50" s="85">
        <f t="shared" si="7"/>
        <v>6930.0000000000009</v>
      </c>
      <c r="V50" s="108"/>
      <c r="W50" s="77"/>
      <c r="X50" s="86"/>
    </row>
    <row r="51" spans="1:24" ht="12.75" customHeight="1" x14ac:dyDescent="0.2">
      <c r="A51" s="715"/>
      <c r="B51" s="14" t="s">
        <v>340</v>
      </c>
      <c r="C51" s="7" t="s">
        <v>305</v>
      </c>
      <c r="D51" s="40" t="s">
        <v>306</v>
      </c>
      <c r="E51" s="36">
        <v>16.2</v>
      </c>
      <c r="F51" s="34">
        <v>0.2</v>
      </c>
      <c r="G51" s="34"/>
      <c r="H51" s="13">
        <v>0</v>
      </c>
      <c r="I51" s="29">
        <f t="shared" ref="I51:I83" si="12">H51*E51</f>
        <v>0</v>
      </c>
      <c r="J51" s="30">
        <f t="shared" ref="J51:J83" si="13">F51*H51</f>
        <v>0</v>
      </c>
      <c r="K51" s="93">
        <f t="shared" si="0"/>
        <v>7125</v>
      </c>
      <c r="L51" s="93">
        <f t="shared" si="1"/>
        <v>5225</v>
      </c>
      <c r="M51" s="93">
        <f t="shared" si="2"/>
        <v>4987.5</v>
      </c>
      <c r="N51" s="64">
        <v>4750</v>
      </c>
      <c r="O51" s="69">
        <v>3630</v>
      </c>
      <c r="P51" s="62">
        <f t="shared" si="3"/>
        <v>1120</v>
      </c>
      <c r="R51" s="105">
        <f t="shared" si="4"/>
        <v>7837.5</v>
      </c>
      <c r="S51" s="105">
        <f t="shared" si="5"/>
        <v>5747.5000000000009</v>
      </c>
      <c r="T51" s="105">
        <f t="shared" si="6"/>
        <v>5486.25</v>
      </c>
      <c r="U51" s="75">
        <f t="shared" si="7"/>
        <v>5225</v>
      </c>
      <c r="V51" s="108">
        <f>O51*1.1</f>
        <v>3993.0000000000005</v>
      </c>
      <c r="W51" s="79">
        <f>U51-V51</f>
        <v>1231.9999999999995</v>
      </c>
      <c r="X51" s="86">
        <v>725</v>
      </c>
    </row>
    <row r="52" spans="1:24" ht="12.75" customHeight="1" x14ac:dyDescent="0.2">
      <c r="A52" s="715"/>
      <c r="B52" s="14" t="s">
        <v>337</v>
      </c>
      <c r="C52" s="7" t="s">
        <v>305</v>
      </c>
      <c r="D52" s="40" t="s">
        <v>306</v>
      </c>
      <c r="E52" s="36">
        <v>16.2</v>
      </c>
      <c r="F52" s="34">
        <v>0.2</v>
      </c>
      <c r="G52" s="34"/>
      <c r="H52" s="13">
        <v>0</v>
      </c>
      <c r="I52" s="29">
        <f t="shared" si="12"/>
        <v>0</v>
      </c>
      <c r="J52" s="30">
        <f t="shared" si="13"/>
        <v>0</v>
      </c>
      <c r="K52" s="93">
        <f t="shared" si="0"/>
        <v>7125</v>
      </c>
      <c r="L52" s="93">
        <f t="shared" si="1"/>
        <v>5225</v>
      </c>
      <c r="M52" s="93">
        <f t="shared" si="2"/>
        <v>4987.5</v>
      </c>
      <c r="N52" s="64">
        <v>4750</v>
      </c>
      <c r="O52" s="69">
        <v>3630</v>
      </c>
      <c r="P52" s="62">
        <f t="shared" si="3"/>
        <v>1120</v>
      </c>
      <c r="R52" s="105">
        <f t="shared" si="4"/>
        <v>7837.5</v>
      </c>
      <c r="S52" s="105">
        <f t="shared" si="5"/>
        <v>5747.5000000000009</v>
      </c>
      <c r="T52" s="105">
        <f t="shared" si="6"/>
        <v>5486.25</v>
      </c>
      <c r="U52" s="75">
        <f t="shared" si="7"/>
        <v>5225</v>
      </c>
      <c r="V52" s="108">
        <f>O52*1.1</f>
        <v>3993.0000000000005</v>
      </c>
      <c r="W52" s="79">
        <f>U52-V52</f>
        <v>1231.9999999999995</v>
      </c>
      <c r="X52" s="86">
        <v>725</v>
      </c>
    </row>
    <row r="53" spans="1:24" ht="12.75" customHeight="1" x14ac:dyDescent="0.2">
      <c r="A53" s="715"/>
      <c r="B53" s="14" t="s">
        <v>338</v>
      </c>
      <c r="C53" s="7" t="s">
        <v>305</v>
      </c>
      <c r="D53" s="40" t="s">
        <v>306</v>
      </c>
      <c r="E53" s="36">
        <v>16.2</v>
      </c>
      <c r="F53" s="34">
        <v>0.2</v>
      </c>
      <c r="G53" s="34"/>
      <c r="H53" s="13">
        <v>0</v>
      </c>
      <c r="I53" s="29">
        <f t="shared" si="12"/>
        <v>0</v>
      </c>
      <c r="J53" s="30">
        <f t="shared" si="13"/>
        <v>0</v>
      </c>
      <c r="K53" s="93">
        <f t="shared" si="0"/>
        <v>7125</v>
      </c>
      <c r="L53" s="93">
        <f t="shared" si="1"/>
        <v>5225</v>
      </c>
      <c r="M53" s="93">
        <f t="shared" si="2"/>
        <v>4987.5</v>
      </c>
      <c r="N53" s="64">
        <v>4750</v>
      </c>
      <c r="O53" s="69">
        <v>3630</v>
      </c>
      <c r="P53" s="62">
        <f t="shared" si="3"/>
        <v>1120</v>
      </c>
      <c r="R53" s="105">
        <f t="shared" si="4"/>
        <v>7837.5</v>
      </c>
      <c r="S53" s="105">
        <f t="shared" si="5"/>
        <v>5747.5000000000009</v>
      </c>
      <c r="T53" s="105">
        <f t="shared" si="6"/>
        <v>5486.25</v>
      </c>
      <c r="U53" s="75">
        <f t="shared" si="7"/>
        <v>5225</v>
      </c>
      <c r="V53" s="108">
        <f>O53*1.1</f>
        <v>3993.0000000000005</v>
      </c>
      <c r="W53" s="79">
        <f>U53-V53</f>
        <v>1231.9999999999995</v>
      </c>
      <c r="X53" s="86">
        <v>725</v>
      </c>
    </row>
    <row r="54" spans="1:24" ht="12.75" customHeight="1" x14ac:dyDescent="0.2">
      <c r="A54" s="715"/>
      <c r="B54" s="14" t="s">
        <v>339</v>
      </c>
      <c r="C54" s="7" t="s">
        <v>305</v>
      </c>
      <c r="D54" s="40" t="s">
        <v>306</v>
      </c>
      <c r="E54" s="36">
        <v>16.2</v>
      </c>
      <c r="F54" s="34">
        <v>0.2</v>
      </c>
      <c r="G54" s="34"/>
      <c r="H54" s="13">
        <v>0</v>
      </c>
      <c r="I54" s="29">
        <f t="shared" si="12"/>
        <v>0</v>
      </c>
      <c r="J54" s="30">
        <f t="shared" si="13"/>
        <v>0</v>
      </c>
      <c r="K54" s="93">
        <f t="shared" si="0"/>
        <v>7125</v>
      </c>
      <c r="L54" s="93">
        <f t="shared" si="1"/>
        <v>5225</v>
      </c>
      <c r="M54" s="93">
        <f t="shared" si="2"/>
        <v>4987.5</v>
      </c>
      <c r="N54" s="64">
        <v>4750</v>
      </c>
      <c r="O54" s="69">
        <v>3630</v>
      </c>
      <c r="P54" s="62">
        <f t="shared" si="3"/>
        <v>1120</v>
      </c>
      <c r="R54" s="105">
        <f t="shared" si="4"/>
        <v>7837.5</v>
      </c>
      <c r="S54" s="105">
        <f t="shared" si="5"/>
        <v>5747.5000000000009</v>
      </c>
      <c r="T54" s="105">
        <f t="shared" si="6"/>
        <v>5486.25</v>
      </c>
      <c r="U54" s="75">
        <f t="shared" si="7"/>
        <v>5225</v>
      </c>
      <c r="V54" s="108">
        <f>O54*1.1</f>
        <v>3993.0000000000005</v>
      </c>
      <c r="W54" s="79">
        <f>U54-V54</f>
        <v>1231.9999999999995</v>
      </c>
      <c r="X54" s="86">
        <v>725</v>
      </c>
    </row>
    <row r="55" spans="1:24" ht="15.75" customHeight="1" x14ac:dyDescent="0.2">
      <c r="A55" s="716"/>
      <c r="B55" s="14" t="s">
        <v>448</v>
      </c>
      <c r="C55" s="7" t="s">
        <v>449</v>
      </c>
      <c r="D55" s="40" t="s">
        <v>450</v>
      </c>
      <c r="E55" s="36"/>
      <c r="F55" s="34"/>
      <c r="G55" s="34"/>
      <c r="H55" s="37"/>
      <c r="I55" s="38"/>
      <c r="J55" s="81"/>
      <c r="K55" s="94">
        <f t="shared" si="0"/>
        <v>14250</v>
      </c>
      <c r="L55" s="94">
        <f t="shared" si="1"/>
        <v>10450</v>
      </c>
      <c r="M55" s="94">
        <f t="shared" si="2"/>
        <v>9975</v>
      </c>
      <c r="N55" s="82">
        <v>9500</v>
      </c>
      <c r="O55" s="83"/>
      <c r="P55" s="84">
        <f>N55-O55</f>
        <v>9500</v>
      </c>
      <c r="Q55" s="101"/>
      <c r="R55" s="106">
        <f t="shared" si="4"/>
        <v>15675</v>
      </c>
      <c r="S55" s="106">
        <f t="shared" si="5"/>
        <v>11495.000000000002</v>
      </c>
      <c r="T55" s="106">
        <f t="shared" si="6"/>
        <v>10972.5</v>
      </c>
      <c r="U55" s="85">
        <f t="shared" si="7"/>
        <v>10450</v>
      </c>
      <c r="V55" s="108">
        <f>O55*1.1</f>
        <v>0</v>
      </c>
      <c r="W55" s="89">
        <f>U55-V55</f>
        <v>10450</v>
      </c>
      <c r="X55" s="90"/>
    </row>
    <row r="56" spans="1:24" ht="12.75" x14ac:dyDescent="0.2">
      <c r="A56" s="710" t="s">
        <v>134</v>
      </c>
      <c r="B56" s="14" t="s">
        <v>42</v>
      </c>
      <c r="C56" s="7" t="s">
        <v>61</v>
      </c>
      <c r="D56" s="7"/>
      <c r="E56" s="5">
        <v>7</v>
      </c>
      <c r="F56" s="3"/>
      <c r="G56" s="3"/>
      <c r="H56" s="13">
        <v>0</v>
      </c>
      <c r="I56" s="29">
        <f t="shared" si="12"/>
        <v>0</v>
      </c>
      <c r="J56" s="30">
        <f t="shared" si="13"/>
        <v>0</v>
      </c>
      <c r="K56" s="93">
        <f t="shared" si="0"/>
        <v>2775</v>
      </c>
      <c r="L56" s="93">
        <f t="shared" si="1"/>
        <v>2035.0000000000002</v>
      </c>
      <c r="M56" s="93">
        <f t="shared" si="2"/>
        <v>1942.5</v>
      </c>
      <c r="N56" s="64">
        <v>1850</v>
      </c>
      <c r="O56" s="69"/>
      <c r="P56" s="62">
        <f t="shared" si="3"/>
        <v>1850</v>
      </c>
      <c r="R56" s="105">
        <f t="shared" si="4"/>
        <v>3052.5000000000005</v>
      </c>
      <c r="S56" s="105">
        <f t="shared" si="5"/>
        <v>2238.5000000000005</v>
      </c>
      <c r="T56" s="105">
        <f t="shared" si="6"/>
        <v>2136.7500000000005</v>
      </c>
      <c r="U56" s="75">
        <f t="shared" si="7"/>
        <v>2035.0000000000002</v>
      </c>
      <c r="V56" s="108"/>
      <c r="W56" s="79"/>
      <c r="X56" s="86"/>
    </row>
    <row r="57" spans="1:24" ht="12.75" x14ac:dyDescent="0.2">
      <c r="A57" s="710"/>
      <c r="B57" s="14" t="s">
        <v>393</v>
      </c>
      <c r="C57" s="7" t="s">
        <v>80</v>
      </c>
      <c r="D57" s="7"/>
      <c r="E57" s="5">
        <v>32</v>
      </c>
      <c r="F57" s="3">
        <v>0.23</v>
      </c>
      <c r="G57" s="3">
        <v>6</v>
      </c>
      <c r="H57" s="13">
        <v>0</v>
      </c>
      <c r="I57" s="29">
        <f t="shared" si="12"/>
        <v>0</v>
      </c>
      <c r="J57" s="30">
        <f t="shared" si="13"/>
        <v>0</v>
      </c>
      <c r="K57" s="93">
        <f t="shared" si="0"/>
        <v>8775</v>
      </c>
      <c r="L57" s="93">
        <f t="shared" si="1"/>
        <v>6435.0000000000009</v>
      </c>
      <c r="M57" s="93">
        <f t="shared" si="2"/>
        <v>6142.5</v>
      </c>
      <c r="N57" s="64">
        <v>5850</v>
      </c>
      <c r="O57" s="69"/>
      <c r="P57" s="62">
        <f t="shared" si="3"/>
        <v>5850</v>
      </c>
      <c r="R57" s="105">
        <f t="shared" si="4"/>
        <v>9652.5000000000018</v>
      </c>
      <c r="S57" s="105">
        <f t="shared" si="5"/>
        <v>7078.5000000000018</v>
      </c>
      <c r="T57" s="105">
        <f t="shared" si="6"/>
        <v>6756.7500000000009</v>
      </c>
      <c r="U57" s="75">
        <f t="shared" si="7"/>
        <v>6435.0000000000009</v>
      </c>
      <c r="V57" s="108"/>
      <c r="W57" s="79"/>
      <c r="X57" s="86"/>
    </row>
    <row r="58" spans="1:24" ht="25.5" x14ac:dyDescent="0.2">
      <c r="A58" s="710"/>
      <c r="B58" s="14" t="s">
        <v>341</v>
      </c>
      <c r="C58" s="7" t="s">
        <v>93</v>
      </c>
      <c r="D58" s="44" t="s">
        <v>280</v>
      </c>
      <c r="E58" s="5">
        <v>34.5</v>
      </c>
      <c r="F58" s="3">
        <v>0.2</v>
      </c>
      <c r="G58" s="3"/>
      <c r="H58" s="13">
        <v>0</v>
      </c>
      <c r="I58" s="29">
        <f t="shared" si="12"/>
        <v>0</v>
      </c>
      <c r="J58" s="30">
        <f t="shared" si="13"/>
        <v>0</v>
      </c>
      <c r="K58" s="93">
        <f t="shared" si="0"/>
        <v>11775</v>
      </c>
      <c r="L58" s="93">
        <f t="shared" si="1"/>
        <v>8635</v>
      </c>
      <c r="M58" s="93">
        <f t="shared" si="2"/>
        <v>8242.5</v>
      </c>
      <c r="N58" s="64">
        <v>7850</v>
      </c>
      <c r="O58" s="69">
        <v>5940</v>
      </c>
      <c r="P58" s="62">
        <f t="shared" si="3"/>
        <v>1910</v>
      </c>
      <c r="R58" s="105">
        <f t="shared" si="4"/>
        <v>12952.5</v>
      </c>
      <c r="S58" s="105">
        <f t="shared" si="5"/>
        <v>9498.5</v>
      </c>
      <c r="T58" s="105">
        <f t="shared" si="6"/>
        <v>9066.75</v>
      </c>
      <c r="U58" s="75">
        <f t="shared" si="7"/>
        <v>8635</v>
      </c>
      <c r="V58" s="108">
        <f>O58*1.1</f>
        <v>6534.0000000000009</v>
      </c>
      <c r="W58" s="79">
        <f>U58-V58</f>
        <v>2100.9999999999991</v>
      </c>
      <c r="X58" s="86">
        <v>2076</v>
      </c>
    </row>
    <row r="59" spans="1:24" x14ac:dyDescent="0.25">
      <c r="A59" s="55" t="s">
        <v>152</v>
      </c>
      <c r="B59" s="14" t="s">
        <v>27</v>
      </c>
      <c r="C59" s="7" t="s">
        <v>166</v>
      </c>
      <c r="D59" s="7"/>
      <c r="E59" s="5">
        <v>0</v>
      </c>
      <c r="F59" s="3">
        <v>0</v>
      </c>
      <c r="G59" s="3" t="s">
        <v>23</v>
      </c>
      <c r="H59" s="13">
        <v>0</v>
      </c>
      <c r="I59" s="29">
        <f t="shared" si="12"/>
        <v>0</v>
      </c>
      <c r="J59" s="30">
        <f t="shared" si="13"/>
        <v>0</v>
      </c>
      <c r="K59" s="93">
        <f t="shared" si="0"/>
        <v>720</v>
      </c>
      <c r="L59" s="93">
        <f t="shared" si="1"/>
        <v>528</v>
      </c>
      <c r="M59" s="93">
        <f t="shared" si="2"/>
        <v>504</v>
      </c>
      <c r="N59" s="64">
        <v>480</v>
      </c>
      <c r="O59" s="69"/>
      <c r="P59" s="62">
        <f t="shared" si="3"/>
        <v>480</v>
      </c>
      <c r="R59" s="105">
        <f t="shared" si="4"/>
        <v>792</v>
      </c>
      <c r="S59" s="105">
        <f t="shared" si="5"/>
        <v>580.80000000000007</v>
      </c>
      <c r="T59" s="105">
        <f t="shared" si="6"/>
        <v>554.4</v>
      </c>
      <c r="U59" s="75">
        <f t="shared" si="7"/>
        <v>528</v>
      </c>
      <c r="V59" s="108"/>
      <c r="W59" s="79"/>
      <c r="X59" s="86"/>
    </row>
    <row r="60" spans="1:24" ht="12.75" x14ac:dyDescent="0.2">
      <c r="A60" s="710" t="s">
        <v>137</v>
      </c>
      <c r="B60" s="14" t="s">
        <v>177</v>
      </c>
      <c r="C60" s="8" t="s">
        <v>1</v>
      </c>
      <c r="D60" s="8"/>
      <c r="E60" s="5">
        <v>6</v>
      </c>
      <c r="F60" s="3">
        <v>7.0000000000000007E-2</v>
      </c>
      <c r="G60" s="3">
        <v>10</v>
      </c>
      <c r="H60" s="13">
        <v>0</v>
      </c>
      <c r="I60" s="29">
        <f t="shared" si="12"/>
        <v>0</v>
      </c>
      <c r="J60" s="30">
        <f t="shared" si="13"/>
        <v>0</v>
      </c>
      <c r="K60" s="93">
        <f t="shared" si="0"/>
        <v>3750</v>
      </c>
      <c r="L60" s="93">
        <f t="shared" si="1"/>
        <v>2750</v>
      </c>
      <c r="M60" s="93">
        <f t="shared" si="2"/>
        <v>2625</v>
      </c>
      <c r="N60" s="64">
        <v>2500</v>
      </c>
      <c r="O60" s="69"/>
      <c r="P60" s="62">
        <f t="shared" si="3"/>
        <v>2500</v>
      </c>
      <c r="R60" s="105">
        <f t="shared" si="4"/>
        <v>4125</v>
      </c>
      <c r="S60" s="105">
        <f t="shared" si="5"/>
        <v>3025.0000000000005</v>
      </c>
      <c r="T60" s="105">
        <f t="shared" si="6"/>
        <v>2887.5</v>
      </c>
      <c r="U60" s="75">
        <f t="shared" si="7"/>
        <v>2750</v>
      </c>
      <c r="V60" s="108"/>
      <c r="W60" s="79"/>
      <c r="X60" s="86"/>
    </row>
    <row r="61" spans="1:24" ht="12.75" x14ac:dyDescent="0.2">
      <c r="A61" s="710"/>
      <c r="B61" s="14" t="s">
        <v>171</v>
      </c>
      <c r="C61" s="8" t="s">
        <v>1</v>
      </c>
      <c r="D61" s="8"/>
      <c r="E61" s="5">
        <v>6</v>
      </c>
      <c r="F61" s="3">
        <v>7.0000000000000007E-2</v>
      </c>
      <c r="G61" s="3">
        <v>10</v>
      </c>
      <c r="H61" s="13">
        <v>0</v>
      </c>
      <c r="I61" s="29">
        <f t="shared" si="12"/>
        <v>0</v>
      </c>
      <c r="J61" s="30">
        <f t="shared" si="13"/>
        <v>0</v>
      </c>
      <c r="K61" s="93">
        <f t="shared" si="0"/>
        <v>4312.5</v>
      </c>
      <c r="L61" s="93">
        <f t="shared" si="1"/>
        <v>3162.5000000000005</v>
      </c>
      <c r="M61" s="93">
        <f t="shared" si="2"/>
        <v>3018.75</v>
      </c>
      <c r="N61" s="64">
        <v>2875</v>
      </c>
      <c r="O61" s="69"/>
      <c r="P61" s="62">
        <f t="shared" si="3"/>
        <v>2875</v>
      </c>
      <c r="R61" s="105">
        <f t="shared" si="4"/>
        <v>4743.7500000000009</v>
      </c>
      <c r="S61" s="105">
        <f t="shared" si="5"/>
        <v>3478.7500000000009</v>
      </c>
      <c r="T61" s="105">
        <f t="shared" si="6"/>
        <v>3320.6250000000005</v>
      </c>
      <c r="U61" s="75">
        <f t="shared" si="7"/>
        <v>3162.5000000000005</v>
      </c>
      <c r="V61" s="108"/>
      <c r="W61" s="79"/>
      <c r="X61" s="86"/>
    </row>
    <row r="62" spans="1:24" ht="12.75" x14ac:dyDescent="0.2">
      <c r="A62" s="710"/>
      <c r="B62" s="14" t="s">
        <v>175</v>
      </c>
      <c r="C62" s="8" t="s">
        <v>2</v>
      </c>
      <c r="D62" s="8"/>
      <c r="E62" s="5">
        <v>7</v>
      </c>
      <c r="F62" s="3">
        <v>7.0000000000000007E-2</v>
      </c>
      <c r="G62" s="3">
        <v>10</v>
      </c>
      <c r="H62" s="13">
        <v>0</v>
      </c>
      <c r="I62" s="29">
        <f t="shared" si="12"/>
        <v>0</v>
      </c>
      <c r="J62" s="30">
        <f t="shared" si="13"/>
        <v>0</v>
      </c>
      <c r="K62" s="93">
        <f t="shared" si="0"/>
        <v>4275</v>
      </c>
      <c r="L62" s="93">
        <f t="shared" si="1"/>
        <v>3135.0000000000005</v>
      </c>
      <c r="M62" s="93">
        <f t="shared" si="2"/>
        <v>2992.5</v>
      </c>
      <c r="N62" s="64">
        <v>2850</v>
      </c>
      <c r="O62" s="69"/>
      <c r="P62" s="62">
        <f t="shared" si="3"/>
        <v>2850</v>
      </c>
      <c r="R62" s="105">
        <f t="shared" si="4"/>
        <v>4702.5000000000009</v>
      </c>
      <c r="S62" s="105">
        <f t="shared" si="5"/>
        <v>3448.5000000000009</v>
      </c>
      <c r="T62" s="105">
        <f t="shared" si="6"/>
        <v>3291.7500000000005</v>
      </c>
      <c r="U62" s="75">
        <f t="shared" si="7"/>
        <v>3135.0000000000005</v>
      </c>
      <c r="V62" s="108"/>
      <c r="W62" s="79"/>
      <c r="X62" s="86"/>
    </row>
    <row r="63" spans="1:24" ht="12.75" x14ac:dyDescent="0.2">
      <c r="A63" s="710"/>
      <c r="B63" s="14" t="s">
        <v>172</v>
      </c>
      <c r="C63" s="8" t="s">
        <v>2</v>
      </c>
      <c r="D63" s="8"/>
      <c r="E63" s="5">
        <v>7</v>
      </c>
      <c r="F63" s="3">
        <v>7.0000000000000007E-2</v>
      </c>
      <c r="G63" s="3">
        <v>10</v>
      </c>
      <c r="H63" s="13">
        <v>0</v>
      </c>
      <c r="I63" s="29">
        <f t="shared" si="12"/>
        <v>0</v>
      </c>
      <c r="J63" s="30">
        <f t="shared" si="13"/>
        <v>0</v>
      </c>
      <c r="K63" s="93">
        <f t="shared" si="0"/>
        <v>4920</v>
      </c>
      <c r="L63" s="93">
        <f t="shared" si="1"/>
        <v>3608.0000000000005</v>
      </c>
      <c r="M63" s="93">
        <f t="shared" si="2"/>
        <v>3444</v>
      </c>
      <c r="N63" s="64">
        <v>3280</v>
      </c>
      <c r="O63" s="69"/>
      <c r="P63" s="62">
        <f t="shared" si="3"/>
        <v>3280</v>
      </c>
      <c r="R63" s="105">
        <f t="shared" si="4"/>
        <v>5412.0000000000009</v>
      </c>
      <c r="S63" s="105">
        <f t="shared" si="5"/>
        <v>3968.8000000000006</v>
      </c>
      <c r="T63" s="105">
        <f t="shared" si="6"/>
        <v>3788.4000000000005</v>
      </c>
      <c r="U63" s="75">
        <f t="shared" si="7"/>
        <v>3608.0000000000005</v>
      </c>
      <c r="V63" s="108"/>
      <c r="W63" s="79"/>
      <c r="X63" s="86"/>
    </row>
    <row r="64" spans="1:24" ht="12.75" x14ac:dyDescent="0.2">
      <c r="A64" s="710"/>
      <c r="B64" s="14" t="s">
        <v>176</v>
      </c>
      <c r="C64" s="8" t="s">
        <v>3</v>
      </c>
      <c r="D64" s="8"/>
      <c r="E64" s="5">
        <v>12</v>
      </c>
      <c r="F64" s="3">
        <v>0.09</v>
      </c>
      <c r="G64" s="3">
        <v>10</v>
      </c>
      <c r="H64" s="13">
        <v>0</v>
      </c>
      <c r="I64" s="29">
        <f t="shared" si="12"/>
        <v>0</v>
      </c>
      <c r="J64" s="30">
        <f t="shared" si="13"/>
        <v>0</v>
      </c>
      <c r="K64" s="93">
        <f t="shared" si="0"/>
        <v>5025</v>
      </c>
      <c r="L64" s="93">
        <f t="shared" si="1"/>
        <v>3685.0000000000005</v>
      </c>
      <c r="M64" s="93">
        <f t="shared" si="2"/>
        <v>3517.5</v>
      </c>
      <c r="N64" s="64">
        <v>3350</v>
      </c>
      <c r="O64" s="69"/>
      <c r="P64" s="62">
        <f t="shared" si="3"/>
        <v>3350</v>
      </c>
      <c r="R64" s="105">
        <f t="shared" si="4"/>
        <v>5527.5000000000009</v>
      </c>
      <c r="S64" s="105">
        <f t="shared" si="5"/>
        <v>4053.5000000000009</v>
      </c>
      <c r="T64" s="105">
        <f t="shared" si="6"/>
        <v>3869.2500000000005</v>
      </c>
      <c r="U64" s="75">
        <f t="shared" si="7"/>
        <v>3685.0000000000005</v>
      </c>
      <c r="V64" s="108"/>
      <c r="W64" s="79"/>
      <c r="X64" s="86"/>
    </row>
    <row r="65" spans="1:24" ht="12.75" x14ac:dyDescent="0.2">
      <c r="A65" s="710"/>
      <c r="B65" s="14" t="s">
        <v>173</v>
      </c>
      <c r="C65" s="8" t="s">
        <v>3</v>
      </c>
      <c r="D65" s="8"/>
      <c r="E65" s="5">
        <v>12</v>
      </c>
      <c r="F65" s="3">
        <v>0.09</v>
      </c>
      <c r="G65" s="3">
        <v>10</v>
      </c>
      <c r="H65" s="13">
        <v>0</v>
      </c>
      <c r="I65" s="29">
        <f t="shared" si="12"/>
        <v>0</v>
      </c>
      <c r="J65" s="30">
        <f t="shared" si="13"/>
        <v>0</v>
      </c>
      <c r="K65" s="93">
        <f t="shared" si="0"/>
        <v>5782.5</v>
      </c>
      <c r="L65" s="93">
        <f t="shared" si="1"/>
        <v>4240.5</v>
      </c>
      <c r="M65" s="93">
        <f t="shared" si="2"/>
        <v>4047.75</v>
      </c>
      <c r="N65" s="64">
        <v>3855</v>
      </c>
      <c r="O65" s="69"/>
      <c r="P65" s="62">
        <f t="shared" ref="P65:P114" si="14">N65-O65</f>
        <v>3855</v>
      </c>
      <c r="R65" s="105">
        <f t="shared" si="4"/>
        <v>6360.75</v>
      </c>
      <c r="S65" s="105">
        <f t="shared" si="5"/>
        <v>4664.55</v>
      </c>
      <c r="T65" s="105">
        <f t="shared" si="6"/>
        <v>4452.5250000000005</v>
      </c>
      <c r="U65" s="75">
        <f t="shared" si="7"/>
        <v>4240.5</v>
      </c>
      <c r="V65" s="108"/>
      <c r="W65" s="79"/>
      <c r="X65" s="86"/>
    </row>
    <row r="66" spans="1:24" ht="12.75" x14ac:dyDescent="0.2">
      <c r="A66" s="710"/>
      <c r="B66" s="14" t="s">
        <v>168</v>
      </c>
      <c r="C66" s="8" t="s">
        <v>4</v>
      </c>
      <c r="D66" s="8"/>
      <c r="E66" s="5">
        <v>13</v>
      </c>
      <c r="F66" s="3">
        <v>0.14000000000000001</v>
      </c>
      <c r="G66" s="3">
        <v>10</v>
      </c>
      <c r="H66" s="13">
        <v>0</v>
      </c>
      <c r="I66" s="29">
        <f t="shared" si="12"/>
        <v>0</v>
      </c>
      <c r="J66" s="30">
        <f t="shared" si="13"/>
        <v>0</v>
      </c>
      <c r="K66" s="93">
        <f t="shared" si="0"/>
        <v>6900</v>
      </c>
      <c r="L66" s="93">
        <f t="shared" si="1"/>
        <v>5060</v>
      </c>
      <c r="M66" s="93">
        <f t="shared" si="2"/>
        <v>4830</v>
      </c>
      <c r="N66" s="64">
        <v>4600</v>
      </c>
      <c r="O66" s="69"/>
      <c r="P66" s="62">
        <f t="shared" si="14"/>
        <v>4600</v>
      </c>
      <c r="R66" s="105">
        <f t="shared" si="4"/>
        <v>7590</v>
      </c>
      <c r="S66" s="105">
        <f t="shared" si="5"/>
        <v>5566</v>
      </c>
      <c r="T66" s="105">
        <f t="shared" si="6"/>
        <v>5313</v>
      </c>
      <c r="U66" s="75">
        <f t="shared" si="7"/>
        <v>5060</v>
      </c>
      <c r="V66" s="108"/>
      <c r="W66" s="79"/>
      <c r="X66" s="86"/>
    </row>
    <row r="67" spans="1:24" ht="12.75" x14ac:dyDescent="0.2">
      <c r="A67" s="710"/>
      <c r="B67" s="14" t="s">
        <v>169</v>
      </c>
      <c r="C67" s="8" t="s">
        <v>4</v>
      </c>
      <c r="D67" s="8"/>
      <c r="E67" s="5">
        <v>13</v>
      </c>
      <c r="F67" s="3">
        <v>0.14000000000000001</v>
      </c>
      <c r="G67" s="3">
        <v>10</v>
      </c>
      <c r="H67" s="13">
        <v>0</v>
      </c>
      <c r="I67" s="29">
        <f t="shared" si="12"/>
        <v>0</v>
      </c>
      <c r="J67" s="30">
        <f t="shared" si="13"/>
        <v>0</v>
      </c>
      <c r="K67" s="93">
        <f t="shared" si="0"/>
        <v>7935</v>
      </c>
      <c r="L67" s="93">
        <f t="shared" si="1"/>
        <v>5819.0000000000009</v>
      </c>
      <c r="M67" s="93">
        <f t="shared" si="2"/>
        <v>5554.5</v>
      </c>
      <c r="N67" s="64">
        <v>5290</v>
      </c>
      <c r="O67" s="69"/>
      <c r="P67" s="62">
        <f t="shared" si="14"/>
        <v>5290</v>
      </c>
      <c r="R67" s="105">
        <f t="shared" si="4"/>
        <v>8728.5000000000018</v>
      </c>
      <c r="S67" s="105">
        <f t="shared" si="5"/>
        <v>6400.9000000000015</v>
      </c>
      <c r="T67" s="105">
        <f t="shared" si="6"/>
        <v>6109.9500000000016</v>
      </c>
      <c r="U67" s="75">
        <f t="shared" si="7"/>
        <v>5819.0000000000009</v>
      </c>
      <c r="V67" s="108"/>
      <c r="W67" s="79"/>
      <c r="X67" s="86"/>
    </row>
    <row r="68" spans="1:24" ht="12.75" x14ac:dyDescent="0.2">
      <c r="A68" s="710"/>
      <c r="B68" s="14" t="s">
        <v>174</v>
      </c>
      <c r="C68" s="8" t="s">
        <v>5</v>
      </c>
      <c r="D68" s="8"/>
      <c r="E68" s="5">
        <v>16</v>
      </c>
      <c r="F68" s="3">
        <v>0.17</v>
      </c>
      <c r="G68" s="3">
        <v>10</v>
      </c>
      <c r="H68" s="13">
        <v>0</v>
      </c>
      <c r="I68" s="29">
        <f t="shared" si="12"/>
        <v>0</v>
      </c>
      <c r="J68" s="30">
        <f t="shared" si="13"/>
        <v>0</v>
      </c>
      <c r="K68" s="93">
        <f t="shared" ref="K68:K131" si="15">N68*1.5</f>
        <v>7500</v>
      </c>
      <c r="L68" s="93">
        <f t="shared" ref="L68:L131" si="16">N68*1.1</f>
        <v>5500</v>
      </c>
      <c r="M68" s="93">
        <f t="shared" ref="M68:M131" si="17">N68*1.05</f>
        <v>5250</v>
      </c>
      <c r="N68" s="64">
        <v>5000</v>
      </c>
      <c r="O68" s="69"/>
      <c r="P68" s="62">
        <f t="shared" si="14"/>
        <v>5000</v>
      </c>
      <c r="R68" s="105">
        <f t="shared" ref="R68:R131" si="18">U68*1.5</f>
        <v>8250</v>
      </c>
      <c r="S68" s="105">
        <f t="shared" ref="S68:S131" si="19">U68*1.1</f>
        <v>6050.0000000000009</v>
      </c>
      <c r="T68" s="105">
        <f t="shared" ref="T68:T131" si="20">U68*1.05</f>
        <v>5775</v>
      </c>
      <c r="U68" s="75">
        <f t="shared" ref="U68:U131" si="21">N68*1.1</f>
        <v>5500</v>
      </c>
      <c r="V68" s="108"/>
      <c r="W68" s="79"/>
      <c r="X68" s="86"/>
    </row>
    <row r="69" spans="1:24" ht="12.75" x14ac:dyDescent="0.2">
      <c r="A69" s="710"/>
      <c r="B69" s="14" t="s">
        <v>170</v>
      </c>
      <c r="C69" s="8" t="s">
        <v>5</v>
      </c>
      <c r="D69" s="8"/>
      <c r="E69" s="5">
        <v>16</v>
      </c>
      <c r="F69" s="3">
        <v>0.17</v>
      </c>
      <c r="G69" s="3">
        <v>10</v>
      </c>
      <c r="H69" s="13">
        <v>0</v>
      </c>
      <c r="I69" s="29">
        <f t="shared" si="12"/>
        <v>0</v>
      </c>
      <c r="J69" s="30">
        <f t="shared" si="13"/>
        <v>0</v>
      </c>
      <c r="K69" s="93">
        <f t="shared" si="15"/>
        <v>8625</v>
      </c>
      <c r="L69" s="93">
        <f t="shared" si="16"/>
        <v>6325.0000000000009</v>
      </c>
      <c r="M69" s="93">
        <f t="shared" si="17"/>
        <v>6037.5</v>
      </c>
      <c r="N69" s="64">
        <v>5750</v>
      </c>
      <c r="O69" s="69"/>
      <c r="P69" s="62">
        <f t="shared" si="14"/>
        <v>5750</v>
      </c>
      <c r="R69" s="105">
        <f t="shared" si="18"/>
        <v>9487.5000000000018</v>
      </c>
      <c r="S69" s="105">
        <f t="shared" si="19"/>
        <v>6957.5000000000018</v>
      </c>
      <c r="T69" s="105">
        <f t="shared" si="20"/>
        <v>6641.2500000000009</v>
      </c>
      <c r="U69" s="75">
        <f t="shared" si="21"/>
        <v>6325.0000000000009</v>
      </c>
      <c r="V69" s="108"/>
      <c r="W69" s="79"/>
      <c r="X69" s="86"/>
    </row>
    <row r="70" spans="1:24" ht="12.75" x14ac:dyDescent="0.2">
      <c r="A70" s="710"/>
      <c r="B70" s="14" t="s">
        <v>373</v>
      </c>
      <c r="C70" s="7" t="s">
        <v>75</v>
      </c>
      <c r="D70" s="7"/>
      <c r="E70" s="5">
        <v>34.5</v>
      </c>
      <c r="F70" s="3">
        <v>0.23</v>
      </c>
      <c r="G70" s="3">
        <v>6</v>
      </c>
      <c r="H70" s="13">
        <v>0</v>
      </c>
      <c r="I70" s="29">
        <f t="shared" si="12"/>
        <v>0</v>
      </c>
      <c r="J70" s="30">
        <f t="shared" si="13"/>
        <v>0</v>
      </c>
      <c r="K70" s="93">
        <f t="shared" si="15"/>
        <v>11250</v>
      </c>
      <c r="L70" s="93">
        <f t="shared" si="16"/>
        <v>8250</v>
      </c>
      <c r="M70" s="93">
        <f t="shared" si="17"/>
        <v>7875</v>
      </c>
      <c r="N70" s="64">
        <v>7500</v>
      </c>
      <c r="O70" s="69"/>
      <c r="P70" s="62">
        <f t="shared" si="14"/>
        <v>7500</v>
      </c>
      <c r="R70" s="105">
        <f t="shared" si="18"/>
        <v>12375</v>
      </c>
      <c r="S70" s="105">
        <f t="shared" si="19"/>
        <v>9075</v>
      </c>
      <c r="T70" s="105">
        <f t="shared" si="20"/>
        <v>8662.5</v>
      </c>
      <c r="U70" s="75">
        <f t="shared" si="21"/>
        <v>8250</v>
      </c>
      <c r="V70" s="108"/>
      <c r="W70" s="79"/>
      <c r="X70" s="86"/>
    </row>
    <row r="71" spans="1:24" ht="12.75" x14ac:dyDescent="0.2">
      <c r="A71" s="710"/>
      <c r="B71" s="14" t="s">
        <v>374</v>
      </c>
      <c r="C71" s="7" t="s">
        <v>75</v>
      </c>
      <c r="D71" s="7"/>
      <c r="E71" s="5">
        <v>34.5</v>
      </c>
      <c r="F71" s="3">
        <v>0.23</v>
      </c>
      <c r="G71" s="3">
        <v>6</v>
      </c>
      <c r="H71" s="13">
        <v>0</v>
      </c>
      <c r="I71" s="29">
        <f t="shared" si="12"/>
        <v>0</v>
      </c>
      <c r="J71" s="30">
        <f t="shared" si="13"/>
        <v>0</v>
      </c>
      <c r="K71" s="93">
        <f t="shared" si="15"/>
        <v>12075</v>
      </c>
      <c r="L71" s="93">
        <f t="shared" si="16"/>
        <v>8855</v>
      </c>
      <c r="M71" s="93">
        <f t="shared" si="17"/>
        <v>8452.5</v>
      </c>
      <c r="N71" s="64">
        <v>8050</v>
      </c>
      <c r="O71" s="69"/>
      <c r="P71" s="62">
        <f t="shared" si="14"/>
        <v>8050</v>
      </c>
      <c r="R71" s="105">
        <f t="shared" si="18"/>
        <v>13282.5</v>
      </c>
      <c r="S71" s="105">
        <f t="shared" si="19"/>
        <v>9740.5</v>
      </c>
      <c r="T71" s="105">
        <f t="shared" si="20"/>
        <v>9297.75</v>
      </c>
      <c r="U71" s="75">
        <f t="shared" si="21"/>
        <v>8855</v>
      </c>
      <c r="V71" s="108"/>
      <c r="W71" s="79"/>
      <c r="X71" s="86"/>
    </row>
    <row r="72" spans="1:24" ht="25.5" x14ac:dyDescent="0.2">
      <c r="A72" s="710"/>
      <c r="B72" s="14" t="s">
        <v>227</v>
      </c>
      <c r="C72" s="7" t="s">
        <v>89</v>
      </c>
      <c r="D72" s="44" t="s">
        <v>285</v>
      </c>
      <c r="E72" s="3">
        <v>15</v>
      </c>
      <c r="F72" s="3">
        <v>0.13</v>
      </c>
      <c r="G72" s="34"/>
      <c r="H72" s="13">
        <v>0</v>
      </c>
      <c r="I72" s="29">
        <f t="shared" si="12"/>
        <v>0</v>
      </c>
      <c r="J72" s="30">
        <f t="shared" si="13"/>
        <v>0</v>
      </c>
      <c r="K72" s="93">
        <f t="shared" si="15"/>
        <v>7500</v>
      </c>
      <c r="L72" s="93">
        <f t="shared" si="16"/>
        <v>5500</v>
      </c>
      <c r="M72" s="93">
        <f t="shared" si="17"/>
        <v>5250</v>
      </c>
      <c r="N72" s="64">
        <v>5000</v>
      </c>
      <c r="O72" s="69">
        <v>3891</v>
      </c>
      <c r="P72" s="62">
        <f t="shared" si="14"/>
        <v>1109</v>
      </c>
      <c r="R72" s="105">
        <f t="shared" si="18"/>
        <v>8250</v>
      </c>
      <c r="S72" s="105">
        <f t="shared" si="19"/>
        <v>6050.0000000000009</v>
      </c>
      <c r="T72" s="105">
        <f t="shared" si="20"/>
        <v>5775</v>
      </c>
      <c r="U72" s="75">
        <f t="shared" si="21"/>
        <v>5500</v>
      </c>
      <c r="V72" s="108">
        <f t="shared" ref="V72:V81" si="22">O72*1.1</f>
        <v>4280.1000000000004</v>
      </c>
      <c r="W72" s="79">
        <f>U72-V72</f>
        <v>1219.8999999999996</v>
      </c>
      <c r="X72" s="86">
        <v>780</v>
      </c>
    </row>
    <row r="73" spans="1:24" ht="25.5" x14ac:dyDescent="0.2">
      <c r="A73" s="710"/>
      <c r="B73" s="14" t="s">
        <v>232</v>
      </c>
      <c r="C73" s="7" t="s">
        <v>89</v>
      </c>
      <c r="D73" s="44" t="s">
        <v>285</v>
      </c>
      <c r="E73" s="3">
        <v>15</v>
      </c>
      <c r="F73" s="3">
        <v>0.13</v>
      </c>
      <c r="G73" s="34"/>
      <c r="H73" s="13">
        <v>0</v>
      </c>
      <c r="I73" s="29">
        <f t="shared" si="12"/>
        <v>0</v>
      </c>
      <c r="J73" s="30">
        <f t="shared" si="13"/>
        <v>0</v>
      </c>
      <c r="K73" s="93">
        <f t="shared" si="15"/>
        <v>8625</v>
      </c>
      <c r="L73" s="93">
        <f t="shared" si="16"/>
        <v>6325.0000000000009</v>
      </c>
      <c r="M73" s="93">
        <f t="shared" si="17"/>
        <v>6037.5</v>
      </c>
      <c r="N73" s="64">
        <v>5750</v>
      </c>
      <c r="O73" s="69">
        <v>4641</v>
      </c>
      <c r="P73" s="62">
        <f t="shared" si="14"/>
        <v>1109</v>
      </c>
      <c r="R73" s="105">
        <f t="shared" si="18"/>
        <v>9487.5000000000018</v>
      </c>
      <c r="S73" s="105">
        <f t="shared" si="19"/>
        <v>6957.5000000000018</v>
      </c>
      <c r="T73" s="105">
        <f t="shared" si="20"/>
        <v>6641.2500000000009</v>
      </c>
      <c r="U73" s="75">
        <f t="shared" si="21"/>
        <v>6325.0000000000009</v>
      </c>
      <c r="V73" s="108">
        <f t="shared" si="22"/>
        <v>5105.1000000000004</v>
      </c>
      <c r="W73" s="79">
        <f>U73-V73</f>
        <v>1219.9000000000005</v>
      </c>
      <c r="X73" s="86">
        <v>780</v>
      </c>
    </row>
    <row r="74" spans="1:24" ht="25.5" x14ac:dyDescent="0.2">
      <c r="A74" s="710"/>
      <c r="B74" s="14" t="s">
        <v>228</v>
      </c>
      <c r="C74" s="7" t="s">
        <v>90</v>
      </c>
      <c r="D74" s="44" t="s">
        <v>286</v>
      </c>
      <c r="E74" s="3">
        <v>17.5</v>
      </c>
      <c r="F74" s="3">
        <v>0.17</v>
      </c>
      <c r="G74" s="34"/>
      <c r="H74" s="13">
        <v>0</v>
      </c>
      <c r="I74" s="29">
        <f t="shared" si="12"/>
        <v>0</v>
      </c>
      <c r="J74" s="30">
        <f t="shared" si="13"/>
        <v>0</v>
      </c>
      <c r="K74" s="93">
        <f t="shared" si="15"/>
        <v>7950</v>
      </c>
      <c r="L74" s="93">
        <f t="shared" si="16"/>
        <v>5830.0000000000009</v>
      </c>
      <c r="M74" s="93">
        <f t="shared" si="17"/>
        <v>5565</v>
      </c>
      <c r="N74" s="64">
        <v>5300</v>
      </c>
      <c r="O74" s="69">
        <v>4146.5</v>
      </c>
      <c r="P74" s="62">
        <f t="shared" si="14"/>
        <v>1153.5</v>
      </c>
      <c r="R74" s="105">
        <f t="shared" si="18"/>
        <v>8745.0000000000018</v>
      </c>
      <c r="S74" s="105">
        <f t="shared" si="19"/>
        <v>6413.0000000000018</v>
      </c>
      <c r="T74" s="105">
        <f t="shared" si="20"/>
        <v>6121.5000000000009</v>
      </c>
      <c r="U74" s="75">
        <f t="shared" si="21"/>
        <v>5830.0000000000009</v>
      </c>
      <c r="V74" s="108">
        <f t="shared" si="22"/>
        <v>4561.1500000000005</v>
      </c>
      <c r="W74" s="79">
        <f t="shared" ref="W74:W134" si="23">U74-V74</f>
        <v>1268.8500000000004</v>
      </c>
      <c r="X74" s="86">
        <v>835</v>
      </c>
    </row>
    <row r="75" spans="1:24" ht="25.5" x14ac:dyDescent="0.2">
      <c r="A75" s="710"/>
      <c r="B75" s="14" t="s">
        <v>233</v>
      </c>
      <c r="C75" s="7" t="s">
        <v>90</v>
      </c>
      <c r="D75" s="44" t="s">
        <v>286</v>
      </c>
      <c r="E75" s="3">
        <v>17.5</v>
      </c>
      <c r="F75" s="3">
        <v>0.17</v>
      </c>
      <c r="G75" s="34"/>
      <c r="H75" s="13">
        <v>0</v>
      </c>
      <c r="I75" s="29">
        <f t="shared" si="12"/>
        <v>0</v>
      </c>
      <c r="J75" s="30">
        <f t="shared" si="13"/>
        <v>0</v>
      </c>
      <c r="K75" s="93">
        <f t="shared" si="15"/>
        <v>9142.5</v>
      </c>
      <c r="L75" s="93">
        <f t="shared" si="16"/>
        <v>6704.5000000000009</v>
      </c>
      <c r="M75" s="93">
        <f t="shared" si="17"/>
        <v>6399.75</v>
      </c>
      <c r="N75" s="64">
        <v>6095</v>
      </c>
      <c r="O75" s="69">
        <v>4941.5</v>
      </c>
      <c r="P75" s="62">
        <f t="shared" si="14"/>
        <v>1153.5</v>
      </c>
      <c r="R75" s="105">
        <f t="shared" si="18"/>
        <v>10056.750000000002</v>
      </c>
      <c r="S75" s="105">
        <f t="shared" si="19"/>
        <v>7374.9500000000016</v>
      </c>
      <c r="T75" s="105">
        <f t="shared" si="20"/>
        <v>7039.7250000000013</v>
      </c>
      <c r="U75" s="75">
        <f t="shared" si="21"/>
        <v>6704.5000000000009</v>
      </c>
      <c r="V75" s="108">
        <f t="shared" si="22"/>
        <v>5435.6500000000005</v>
      </c>
      <c r="W75" s="79">
        <f t="shared" si="23"/>
        <v>1268.8500000000004</v>
      </c>
      <c r="X75" s="86">
        <v>835</v>
      </c>
    </row>
    <row r="76" spans="1:24" ht="25.5" x14ac:dyDescent="0.2">
      <c r="A76" s="710"/>
      <c r="B76" s="14" t="s">
        <v>229</v>
      </c>
      <c r="C76" s="7" t="s">
        <v>91</v>
      </c>
      <c r="D76" s="44" t="s">
        <v>287</v>
      </c>
      <c r="E76" s="3">
        <v>25</v>
      </c>
      <c r="F76" s="3">
        <v>0.21</v>
      </c>
      <c r="G76" s="34"/>
      <c r="H76" s="13">
        <v>0</v>
      </c>
      <c r="I76" s="29">
        <f t="shared" si="12"/>
        <v>0</v>
      </c>
      <c r="J76" s="30">
        <f t="shared" si="13"/>
        <v>0</v>
      </c>
      <c r="K76" s="93">
        <f t="shared" si="15"/>
        <v>10725</v>
      </c>
      <c r="L76" s="93">
        <f t="shared" si="16"/>
        <v>7865.0000000000009</v>
      </c>
      <c r="M76" s="93">
        <f t="shared" si="17"/>
        <v>7507.5</v>
      </c>
      <c r="N76" s="64">
        <v>7150</v>
      </c>
      <c r="O76" s="69">
        <v>4951.2</v>
      </c>
      <c r="P76" s="62">
        <f t="shared" si="14"/>
        <v>2198.8000000000002</v>
      </c>
      <c r="R76" s="105">
        <f t="shared" si="18"/>
        <v>11797.500000000002</v>
      </c>
      <c r="S76" s="105">
        <f t="shared" si="19"/>
        <v>8651.5000000000018</v>
      </c>
      <c r="T76" s="105">
        <f t="shared" si="20"/>
        <v>8258.2500000000018</v>
      </c>
      <c r="U76" s="75">
        <f t="shared" si="21"/>
        <v>7865.0000000000009</v>
      </c>
      <c r="V76" s="108">
        <f t="shared" si="22"/>
        <v>5446.3200000000006</v>
      </c>
      <c r="W76" s="79">
        <f t="shared" si="23"/>
        <v>2418.6800000000003</v>
      </c>
      <c r="X76" s="86">
        <v>1545.8</v>
      </c>
    </row>
    <row r="77" spans="1:24" ht="25.5" x14ac:dyDescent="0.2">
      <c r="A77" s="710"/>
      <c r="B77" s="14" t="s">
        <v>234</v>
      </c>
      <c r="C77" s="7" t="s">
        <v>91</v>
      </c>
      <c r="D77" s="44" t="s">
        <v>287</v>
      </c>
      <c r="E77" s="3">
        <v>25</v>
      </c>
      <c r="F77" s="3">
        <v>0.21</v>
      </c>
      <c r="G77" s="34"/>
      <c r="H77" s="13">
        <v>0</v>
      </c>
      <c r="I77" s="29">
        <f t="shared" si="12"/>
        <v>0</v>
      </c>
      <c r="J77" s="30">
        <f t="shared" si="13"/>
        <v>0</v>
      </c>
      <c r="K77" s="93">
        <f t="shared" si="15"/>
        <v>12337.5</v>
      </c>
      <c r="L77" s="93">
        <f t="shared" si="16"/>
        <v>9047.5</v>
      </c>
      <c r="M77" s="93">
        <f t="shared" si="17"/>
        <v>8636.25</v>
      </c>
      <c r="N77" s="64">
        <v>8225</v>
      </c>
      <c r="O77" s="69">
        <v>6026.2</v>
      </c>
      <c r="P77" s="62">
        <f t="shared" si="14"/>
        <v>2198.8000000000002</v>
      </c>
      <c r="R77" s="105">
        <f t="shared" si="18"/>
        <v>13571.25</v>
      </c>
      <c r="S77" s="105">
        <f t="shared" si="19"/>
        <v>9952.25</v>
      </c>
      <c r="T77" s="105">
        <f t="shared" si="20"/>
        <v>9499.875</v>
      </c>
      <c r="U77" s="75">
        <f t="shared" si="21"/>
        <v>9047.5</v>
      </c>
      <c r="V77" s="108">
        <f t="shared" si="22"/>
        <v>6628.8200000000006</v>
      </c>
      <c r="W77" s="79">
        <f t="shared" si="23"/>
        <v>2418.6799999999994</v>
      </c>
      <c r="X77" s="86">
        <v>1545.8</v>
      </c>
    </row>
    <row r="78" spans="1:24" ht="25.5" x14ac:dyDescent="0.2">
      <c r="A78" s="710"/>
      <c r="B78" s="14" t="s">
        <v>225</v>
      </c>
      <c r="C78" s="7" t="s">
        <v>87</v>
      </c>
      <c r="D78" s="44" t="s">
        <v>288</v>
      </c>
      <c r="E78" s="3">
        <v>29</v>
      </c>
      <c r="F78" s="3">
        <v>0.28000000000000003</v>
      </c>
      <c r="G78" s="34"/>
      <c r="H78" s="13">
        <v>0</v>
      </c>
      <c r="I78" s="29">
        <f t="shared" si="12"/>
        <v>0</v>
      </c>
      <c r="J78" s="30">
        <f t="shared" si="13"/>
        <v>0</v>
      </c>
      <c r="K78" s="93">
        <f t="shared" si="15"/>
        <v>13200</v>
      </c>
      <c r="L78" s="93">
        <f t="shared" si="16"/>
        <v>9680</v>
      </c>
      <c r="M78" s="93">
        <f t="shared" si="17"/>
        <v>9240</v>
      </c>
      <c r="N78" s="64">
        <v>8800</v>
      </c>
      <c r="O78" s="69">
        <v>6317.15</v>
      </c>
      <c r="P78" s="62">
        <f t="shared" si="14"/>
        <v>2482.8500000000004</v>
      </c>
      <c r="R78" s="105">
        <f t="shared" si="18"/>
        <v>14520</v>
      </c>
      <c r="S78" s="105">
        <f t="shared" si="19"/>
        <v>10648</v>
      </c>
      <c r="T78" s="105">
        <f t="shared" si="20"/>
        <v>10164</v>
      </c>
      <c r="U78" s="75">
        <f t="shared" si="21"/>
        <v>9680</v>
      </c>
      <c r="V78" s="108">
        <f t="shared" si="22"/>
        <v>6948.8649999999998</v>
      </c>
      <c r="W78" s="79">
        <f t="shared" si="23"/>
        <v>2731.1350000000002</v>
      </c>
      <c r="X78" s="86">
        <v>1745</v>
      </c>
    </row>
    <row r="79" spans="1:24" ht="25.5" x14ac:dyDescent="0.2">
      <c r="A79" s="710"/>
      <c r="B79" s="14" t="s">
        <v>230</v>
      </c>
      <c r="C79" s="7" t="s">
        <v>87</v>
      </c>
      <c r="D79" s="44" t="s">
        <v>288</v>
      </c>
      <c r="E79" s="3">
        <v>29</v>
      </c>
      <c r="F79" s="3">
        <v>0.28000000000000003</v>
      </c>
      <c r="G79" s="34"/>
      <c r="H79" s="13">
        <v>0</v>
      </c>
      <c r="I79" s="29">
        <f t="shared" si="12"/>
        <v>0</v>
      </c>
      <c r="J79" s="30">
        <f t="shared" si="13"/>
        <v>0</v>
      </c>
      <c r="K79" s="93">
        <f t="shared" si="15"/>
        <v>15180</v>
      </c>
      <c r="L79" s="93">
        <f t="shared" si="16"/>
        <v>11132</v>
      </c>
      <c r="M79" s="93">
        <f t="shared" si="17"/>
        <v>10626</v>
      </c>
      <c r="N79" s="64">
        <v>10120</v>
      </c>
      <c r="O79" s="69">
        <v>7637.15</v>
      </c>
      <c r="P79" s="62">
        <f t="shared" si="14"/>
        <v>2482.8500000000004</v>
      </c>
      <c r="R79" s="105">
        <f t="shared" si="18"/>
        <v>16698</v>
      </c>
      <c r="S79" s="105">
        <f t="shared" si="19"/>
        <v>12245.2</v>
      </c>
      <c r="T79" s="105">
        <f t="shared" si="20"/>
        <v>11688.6</v>
      </c>
      <c r="U79" s="75">
        <f t="shared" si="21"/>
        <v>11132</v>
      </c>
      <c r="V79" s="108">
        <f t="shared" si="22"/>
        <v>8400.8649999999998</v>
      </c>
      <c r="W79" s="79">
        <f t="shared" si="23"/>
        <v>2731.1350000000002</v>
      </c>
      <c r="X79" s="86">
        <v>1745</v>
      </c>
    </row>
    <row r="80" spans="1:24" ht="25.5" x14ac:dyDescent="0.2">
      <c r="A80" s="710"/>
      <c r="B80" s="14" t="s">
        <v>226</v>
      </c>
      <c r="C80" s="7" t="s">
        <v>88</v>
      </c>
      <c r="D80" s="44" t="s">
        <v>289</v>
      </c>
      <c r="E80" s="3">
        <v>34.200000000000003</v>
      </c>
      <c r="F80" s="3">
        <v>0.4</v>
      </c>
      <c r="G80" s="34"/>
      <c r="H80" s="13">
        <v>0</v>
      </c>
      <c r="I80" s="29">
        <f t="shared" si="12"/>
        <v>0</v>
      </c>
      <c r="J80" s="30">
        <f t="shared" si="13"/>
        <v>0</v>
      </c>
      <c r="K80" s="93">
        <f t="shared" si="15"/>
        <v>21000</v>
      </c>
      <c r="L80" s="93">
        <f t="shared" si="16"/>
        <v>15400.000000000002</v>
      </c>
      <c r="M80" s="93">
        <f t="shared" si="17"/>
        <v>14700</v>
      </c>
      <c r="N80" s="64">
        <v>14000</v>
      </c>
      <c r="O80" s="69">
        <v>7096.55</v>
      </c>
      <c r="P80" s="62">
        <f t="shared" si="14"/>
        <v>6903.45</v>
      </c>
      <c r="R80" s="105">
        <f t="shared" si="18"/>
        <v>23100.000000000004</v>
      </c>
      <c r="S80" s="105">
        <f t="shared" si="19"/>
        <v>16940.000000000004</v>
      </c>
      <c r="T80" s="105">
        <f t="shared" si="20"/>
        <v>16170.000000000002</v>
      </c>
      <c r="U80" s="75">
        <f t="shared" si="21"/>
        <v>15400.000000000002</v>
      </c>
      <c r="V80" s="108">
        <f t="shared" si="22"/>
        <v>7806.2050000000008</v>
      </c>
      <c r="W80" s="79">
        <f t="shared" si="23"/>
        <v>7593.795000000001</v>
      </c>
      <c r="X80" s="86">
        <v>6027</v>
      </c>
    </row>
    <row r="81" spans="1:24" ht="25.5" x14ac:dyDescent="0.2">
      <c r="A81" s="710"/>
      <c r="B81" s="14" t="s">
        <v>231</v>
      </c>
      <c r="C81" s="7" t="s">
        <v>88</v>
      </c>
      <c r="D81" s="44" t="s">
        <v>289</v>
      </c>
      <c r="E81" s="3">
        <v>34.200000000000003</v>
      </c>
      <c r="F81" s="3">
        <v>0.4</v>
      </c>
      <c r="G81" s="34"/>
      <c r="H81" s="13">
        <v>0</v>
      </c>
      <c r="I81" s="29">
        <f t="shared" si="12"/>
        <v>0</v>
      </c>
      <c r="J81" s="30">
        <f t="shared" si="13"/>
        <v>0</v>
      </c>
      <c r="K81" s="93">
        <f t="shared" si="15"/>
        <v>24150</v>
      </c>
      <c r="L81" s="93">
        <f t="shared" si="16"/>
        <v>17710</v>
      </c>
      <c r="M81" s="93">
        <f t="shared" si="17"/>
        <v>16905</v>
      </c>
      <c r="N81" s="64">
        <v>16100</v>
      </c>
      <c r="O81" s="69">
        <v>9196.5499999999993</v>
      </c>
      <c r="P81" s="62">
        <f t="shared" si="14"/>
        <v>6903.4500000000007</v>
      </c>
      <c r="R81" s="105">
        <f t="shared" si="18"/>
        <v>26565</v>
      </c>
      <c r="S81" s="105">
        <f t="shared" si="19"/>
        <v>19481</v>
      </c>
      <c r="T81" s="105">
        <f t="shared" si="20"/>
        <v>18595.5</v>
      </c>
      <c r="U81" s="75">
        <f t="shared" si="21"/>
        <v>17710</v>
      </c>
      <c r="V81" s="108">
        <f t="shared" si="22"/>
        <v>10116.205</v>
      </c>
      <c r="W81" s="79">
        <f t="shared" si="23"/>
        <v>7593.7950000000001</v>
      </c>
      <c r="X81" s="86">
        <v>6027</v>
      </c>
    </row>
    <row r="82" spans="1:24" ht="12.75" x14ac:dyDescent="0.2">
      <c r="A82" s="710" t="s">
        <v>138</v>
      </c>
      <c r="B82" s="14" t="s">
        <v>406</v>
      </c>
      <c r="C82" s="8" t="s">
        <v>10</v>
      </c>
      <c r="D82" s="8"/>
      <c r="E82" s="5">
        <v>14.2</v>
      </c>
      <c r="F82" s="3">
        <v>0.1</v>
      </c>
      <c r="G82" s="3">
        <v>10</v>
      </c>
      <c r="H82" s="13">
        <v>0</v>
      </c>
      <c r="I82" s="29">
        <f t="shared" si="12"/>
        <v>0</v>
      </c>
      <c r="J82" s="30">
        <f t="shared" si="13"/>
        <v>0</v>
      </c>
      <c r="K82" s="93">
        <f t="shared" si="15"/>
        <v>3075</v>
      </c>
      <c r="L82" s="93">
        <f t="shared" si="16"/>
        <v>2255</v>
      </c>
      <c r="M82" s="93">
        <f t="shared" si="17"/>
        <v>2152.5</v>
      </c>
      <c r="N82" s="64">
        <v>2050</v>
      </c>
      <c r="O82" s="69"/>
      <c r="P82" s="62">
        <f t="shared" si="14"/>
        <v>2050</v>
      </c>
      <c r="R82" s="105">
        <f t="shared" si="18"/>
        <v>3382.5</v>
      </c>
      <c r="S82" s="105">
        <f t="shared" si="19"/>
        <v>2480.5</v>
      </c>
      <c r="T82" s="105">
        <f t="shared" si="20"/>
        <v>2367.75</v>
      </c>
      <c r="U82" s="75">
        <f t="shared" si="21"/>
        <v>2255</v>
      </c>
      <c r="V82" s="108"/>
      <c r="W82" s="79"/>
      <c r="X82" s="86"/>
    </row>
    <row r="83" spans="1:24" ht="12.75" x14ac:dyDescent="0.2">
      <c r="A83" s="710"/>
      <c r="B83" s="14" t="s">
        <v>407</v>
      </c>
      <c r="C83" s="8" t="s">
        <v>11</v>
      </c>
      <c r="D83" s="8"/>
      <c r="E83" s="31">
        <v>15.6</v>
      </c>
      <c r="F83" s="3">
        <v>0.1</v>
      </c>
      <c r="G83" s="3">
        <v>10</v>
      </c>
      <c r="H83" s="13">
        <v>0</v>
      </c>
      <c r="I83" s="29">
        <f t="shared" si="12"/>
        <v>0</v>
      </c>
      <c r="J83" s="30">
        <f t="shared" si="13"/>
        <v>0</v>
      </c>
      <c r="K83" s="93">
        <f t="shared" si="15"/>
        <v>3300</v>
      </c>
      <c r="L83" s="93">
        <f t="shared" si="16"/>
        <v>2420</v>
      </c>
      <c r="M83" s="93">
        <f t="shared" si="17"/>
        <v>2310</v>
      </c>
      <c r="N83" s="64">
        <v>2200</v>
      </c>
      <c r="O83" s="69"/>
      <c r="P83" s="62">
        <f t="shared" si="14"/>
        <v>2200</v>
      </c>
      <c r="R83" s="105">
        <f t="shared" si="18"/>
        <v>3630</v>
      </c>
      <c r="S83" s="105">
        <f t="shared" si="19"/>
        <v>2662</v>
      </c>
      <c r="T83" s="105">
        <f t="shared" si="20"/>
        <v>2541</v>
      </c>
      <c r="U83" s="75">
        <f t="shared" si="21"/>
        <v>2420</v>
      </c>
      <c r="V83" s="108"/>
      <c r="W83" s="79"/>
      <c r="X83" s="86"/>
    </row>
    <row r="84" spans="1:24" ht="12.75" x14ac:dyDescent="0.2">
      <c r="A84" s="710"/>
      <c r="B84" s="14" t="s">
        <v>28</v>
      </c>
      <c r="C84" s="8" t="s">
        <v>11</v>
      </c>
      <c r="D84" s="8"/>
      <c r="E84" s="5">
        <v>22</v>
      </c>
      <c r="F84" s="3">
        <v>0.1</v>
      </c>
      <c r="G84" s="3">
        <v>10</v>
      </c>
      <c r="H84" s="13">
        <v>0</v>
      </c>
      <c r="I84" s="29">
        <f t="shared" ref="I84:I115" si="24">H84*E84</f>
        <v>0</v>
      </c>
      <c r="J84" s="30">
        <f t="shared" ref="J84:J115" si="25">F84*H84</f>
        <v>0</v>
      </c>
      <c r="K84" s="93">
        <f t="shared" si="15"/>
        <v>4350</v>
      </c>
      <c r="L84" s="93">
        <f t="shared" si="16"/>
        <v>3190.0000000000005</v>
      </c>
      <c r="M84" s="93">
        <f t="shared" si="17"/>
        <v>3045</v>
      </c>
      <c r="N84" s="64">
        <v>2900</v>
      </c>
      <c r="O84" s="69"/>
      <c r="P84" s="62">
        <f t="shared" si="14"/>
        <v>2900</v>
      </c>
      <c r="R84" s="105">
        <f t="shared" si="18"/>
        <v>4785.0000000000009</v>
      </c>
      <c r="S84" s="105">
        <f t="shared" si="19"/>
        <v>3509.0000000000009</v>
      </c>
      <c r="T84" s="105">
        <f t="shared" si="20"/>
        <v>3349.5000000000005</v>
      </c>
      <c r="U84" s="75">
        <f t="shared" si="21"/>
        <v>3190.0000000000005</v>
      </c>
      <c r="V84" s="108"/>
      <c r="W84" s="79"/>
      <c r="X84" s="86"/>
    </row>
    <row r="85" spans="1:24" ht="12.75" x14ac:dyDescent="0.2">
      <c r="A85" s="710"/>
      <c r="B85" s="14" t="s">
        <v>408</v>
      </c>
      <c r="C85" s="7" t="s">
        <v>83</v>
      </c>
      <c r="D85" s="7"/>
      <c r="E85" s="5">
        <v>34.5</v>
      </c>
      <c r="F85" s="3">
        <v>0.23</v>
      </c>
      <c r="G85" s="3">
        <v>6</v>
      </c>
      <c r="H85" s="13">
        <v>0</v>
      </c>
      <c r="I85" s="29">
        <f t="shared" si="24"/>
        <v>0</v>
      </c>
      <c r="J85" s="30">
        <f t="shared" si="25"/>
        <v>0</v>
      </c>
      <c r="K85" s="93">
        <f t="shared" si="15"/>
        <v>7725</v>
      </c>
      <c r="L85" s="93">
        <f t="shared" si="16"/>
        <v>5665.0000000000009</v>
      </c>
      <c r="M85" s="93">
        <f t="shared" si="17"/>
        <v>5407.5</v>
      </c>
      <c r="N85" s="64">
        <v>5150</v>
      </c>
      <c r="O85" s="69"/>
      <c r="P85" s="62">
        <f t="shared" si="14"/>
        <v>5150</v>
      </c>
      <c r="R85" s="105">
        <f t="shared" si="18"/>
        <v>8497.5000000000018</v>
      </c>
      <c r="S85" s="105">
        <f t="shared" si="19"/>
        <v>6231.5000000000018</v>
      </c>
      <c r="T85" s="105">
        <f t="shared" si="20"/>
        <v>5948.2500000000009</v>
      </c>
      <c r="U85" s="75">
        <f t="shared" si="21"/>
        <v>5665.0000000000009</v>
      </c>
      <c r="V85" s="108"/>
      <c r="W85" s="79"/>
      <c r="X85" s="86"/>
    </row>
    <row r="86" spans="1:24" ht="12.75" x14ac:dyDescent="0.2">
      <c r="A86" s="710"/>
      <c r="B86" s="14" t="s">
        <v>32</v>
      </c>
      <c r="C86" s="7" t="s">
        <v>92</v>
      </c>
      <c r="D86" s="44" t="s">
        <v>281</v>
      </c>
      <c r="E86" s="5">
        <v>26.7</v>
      </c>
      <c r="F86" s="3">
        <v>0.16</v>
      </c>
      <c r="G86" s="3"/>
      <c r="H86" s="13">
        <v>0</v>
      </c>
      <c r="I86" s="29">
        <f t="shared" si="24"/>
        <v>0</v>
      </c>
      <c r="J86" s="30">
        <f t="shared" si="25"/>
        <v>0</v>
      </c>
      <c r="K86" s="93">
        <f t="shared" si="15"/>
        <v>8250</v>
      </c>
      <c r="L86" s="93">
        <f t="shared" si="16"/>
        <v>6050.0000000000009</v>
      </c>
      <c r="M86" s="93">
        <f t="shared" si="17"/>
        <v>5775</v>
      </c>
      <c r="N86" s="64">
        <v>5500</v>
      </c>
      <c r="O86" s="69">
        <v>2940</v>
      </c>
      <c r="P86" s="62">
        <f t="shared" si="14"/>
        <v>2560</v>
      </c>
      <c r="R86" s="105">
        <f t="shared" si="18"/>
        <v>9075.0000000000018</v>
      </c>
      <c r="S86" s="105">
        <f t="shared" si="19"/>
        <v>6655.0000000000018</v>
      </c>
      <c r="T86" s="105">
        <f t="shared" si="20"/>
        <v>6352.5000000000009</v>
      </c>
      <c r="U86" s="75">
        <f t="shared" si="21"/>
        <v>6050.0000000000009</v>
      </c>
      <c r="V86" s="108">
        <f t="shared" ref="V86:V91" si="26">O86*1.1</f>
        <v>3234.0000000000005</v>
      </c>
      <c r="W86" s="79">
        <f t="shared" si="23"/>
        <v>2816.0000000000005</v>
      </c>
      <c r="X86" s="86">
        <v>2293</v>
      </c>
    </row>
    <row r="87" spans="1:24" ht="12.75" x14ac:dyDescent="0.2">
      <c r="A87" s="710"/>
      <c r="B87" s="14" t="s">
        <v>33</v>
      </c>
      <c r="C87" s="7" t="s">
        <v>97</v>
      </c>
      <c r="D87" s="44" t="s">
        <v>281</v>
      </c>
      <c r="E87" s="5">
        <v>26.7</v>
      </c>
      <c r="F87" s="3">
        <v>0.22</v>
      </c>
      <c r="G87" s="3"/>
      <c r="H87" s="13">
        <v>0</v>
      </c>
      <c r="I87" s="29">
        <f t="shared" si="24"/>
        <v>0</v>
      </c>
      <c r="J87" s="30">
        <f t="shared" si="25"/>
        <v>0</v>
      </c>
      <c r="K87" s="93">
        <f t="shared" si="15"/>
        <v>9750</v>
      </c>
      <c r="L87" s="93">
        <f t="shared" si="16"/>
        <v>7150.0000000000009</v>
      </c>
      <c r="M87" s="93">
        <f t="shared" si="17"/>
        <v>6825</v>
      </c>
      <c r="N87" s="64">
        <v>6500</v>
      </c>
      <c r="O87" s="69">
        <v>3940</v>
      </c>
      <c r="P87" s="62">
        <f t="shared" si="14"/>
        <v>2560</v>
      </c>
      <c r="R87" s="105">
        <f t="shared" si="18"/>
        <v>10725.000000000002</v>
      </c>
      <c r="S87" s="105">
        <f t="shared" si="19"/>
        <v>7865.0000000000018</v>
      </c>
      <c r="T87" s="105">
        <f t="shared" si="20"/>
        <v>7507.5000000000009</v>
      </c>
      <c r="U87" s="75">
        <f t="shared" si="21"/>
        <v>7150.0000000000009</v>
      </c>
      <c r="V87" s="108">
        <f t="shared" si="26"/>
        <v>4334</v>
      </c>
      <c r="W87" s="79">
        <f t="shared" si="23"/>
        <v>2816.0000000000009</v>
      </c>
      <c r="X87" s="86">
        <v>2293</v>
      </c>
    </row>
    <row r="88" spans="1:24" ht="12.75" x14ac:dyDescent="0.2">
      <c r="A88" s="710"/>
      <c r="B88" s="14" t="s">
        <v>235</v>
      </c>
      <c r="C88" s="7" t="s">
        <v>94</v>
      </c>
      <c r="D88" s="44" t="s">
        <v>282</v>
      </c>
      <c r="E88" s="5">
        <v>21.5</v>
      </c>
      <c r="F88" s="3">
        <v>0.19</v>
      </c>
      <c r="G88" s="3"/>
      <c r="H88" s="13">
        <v>0</v>
      </c>
      <c r="I88" s="29">
        <f t="shared" si="24"/>
        <v>0</v>
      </c>
      <c r="J88" s="30">
        <f t="shared" si="25"/>
        <v>0</v>
      </c>
      <c r="K88" s="93">
        <f t="shared" si="15"/>
        <v>9150</v>
      </c>
      <c r="L88" s="93">
        <f t="shared" si="16"/>
        <v>6710.0000000000009</v>
      </c>
      <c r="M88" s="93">
        <f t="shared" si="17"/>
        <v>6405</v>
      </c>
      <c r="N88" s="64">
        <v>6100</v>
      </c>
      <c r="O88" s="69">
        <v>3030</v>
      </c>
      <c r="P88" s="62">
        <f t="shared" si="14"/>
        <v>3070</v>
      </c>
      <c r="R88" s="105">
        <f t="shared" si="18"/>
        <v>10065.000000000002</v>
      </c>
      <c r="S88" s="105">
        <f t="shared" si="19"/>
        <v>7381.0000000000018</v>
      </c>
      <c r="T88" s="105">
        <f t="shared" si="20"/>
        <v>7045.5000000000009</v>
      </c>
      <c r="U88" s="75">
        <f t="shared" si="21"/>
        <v>6710.0000000000009</v>
      </c>
      <c r="V88" s="108">
        <f t="shared" si="26"/>
        <v>3333.0000000000005</v>
      </c>
      <c r="W88" s="79">
        <f t="shared" si="23"/>
        <v>3377.0000000000005</v>
      </c>
      <c r="X88" s="86">
        <v>2736</v>
      </c>
    </row>
    <row r="89" spans="1:24" ht="12.75" x14ac:dyDescent="0.2">
      <c r="A89" s="710"/>
      <c r="B89" s="14" t="s">
        <v>236</v>
      </c>
      <c r="C89" s="7" t="s">
        <v>98</v>
      </c>
      <c r="D89" s="44" t="s">
        <v>282</v>
      </c>
      <c r="E89" s="5">
        <v>21.5</v>
      </c>
      <c r="F89" s="3">
        <v>0.24</v>
      </c>
      <c r="G89" s="3"/>
      <c r="H89" s="13">
        <v>0</v>
      </c>
      <c r="I89" s="29">
        <f t="shared" si="24"/>
        <v>0</v>
      </c>
      <c r="J89" s="30">
        <f t="shared" si="25"/>
        <v>0</v>
      </c>
      <c r="K89" s="93">
        <f t="shared" si="15"/>
        <v>10350</v>
      </c>
      <c r="L89" s="93">
        <f t="shared" si="16"/>
        <v>7590.0000000000009</v>
      </c>
      <c r="M89" s="93">
        <f t="shared" si="17"/>
        <v>7245</v>
      </c>
      <c r="N89" s="64">
        <v>6900</v>
      </c>
      <c r="O89" s="69">
        <v>3830</v>
      </c>
      <c r="P89" s="62">
        <f t="shared" si="14"/>
        <v>3070</v>
      </c>
      <c r="R89" s="105">
        <f t="shared" si="18"/>
        <v>11385.000000000002</v>
      </c>
      <c r="S89" s="105">
        <f t="shared" si="19"/>
        <v>8349.0000000000018</v>
      </c>
      <c r="T89" s="105">
        <f t="shared" si="20"/>
        <v>7969.5000000000009</v>
      </c>
      <c r="U89" s="75">
        <f t="shared" si="21"/>
        <v>7590.0000000000009</v>
      </c>
      <c r="V89" s="108">
        <f t="shared" si="26"/>
        <v>4213</v>
      </c>
      <c r="W89" s="79">
        <f t="shared" si="23"/>
        <v>3377.0000000000009</v>
      </c>
      <c r="X89" s="86">
        <v>2736</v>
      </c>
    </row>
    <row r="90" spans="1:24" ht="12.75" x14ac:dyDescent="0.2">
      <c r="A90" s="710"/>
      <c r="B90" s="14" t="s">
        <v>237</v>
      </c>
      <c r="C90" s="7" t="s">
        <v>95</v>
      </c>
      <c r="D90" s="44" t="s">
        <v>283</v>
      </c>
      <c r="E90" s="3">
        <v>25.5</v>
      </c>
      <c r="F90" s="3">
        <v>0.3</v>
      </c>
      <c r="G90" s="34"/>
      <c r="H90" s="13">
        <v>0</v>
      </c>
      <c r="I90" s="29">
        <f t="shared" si="24"/>
        <v>0</v>
      </c>
      <c r="J90" s="30">
        <f t="shared" si="25"/>
        <v>0</v>
      </c>
      <c r="K90" s="93">
        <f t="shared" si="15"/>
        <v>11550</v>
      </c>
      <c r="L90" s="93">
        <f t="shared" si="16"/>
        <v>8470</v>
      </c>
      <c r="M90" s="93">
        <f t="shared" si="17"/>
        <v>8085</v>
      </c>
      <c r="N90" s="64">
        <v>7700</v>
      </c>
      <c r="O90" s="69">
        <v>3756</v>
      </c>
      <c r="P90" s="62">
        <f t="shared" si="14"/>
        <v>3944</v>
      </c>
      <c r="R90" s="105">
        <f t="shared" si="18"/>
        <v>12705</v>
      </c>
      <c r="S90" s="105">
        <f t="shared" si="19"/>
        <v>9317</v>
      </c>
      <c r="T90" s="105">
        <f t="shared" si="20"/>
        <v>8893.5</v>
      </c>
      <c r="U90" s="75">
        <f t="shared" si="21"/>
        <v>8470</v>
      </c>
      <c r="V90" s="108">
        <f t="shared" si="26"/>
        <v>4131.6000000000004</v>
      </c>
      <c r="W90" s="79">
        <f t="shared" si="23"/>
        <v>4338.3999999999996</v>
      </c>
      <c r="X90" s="86">
        <v>3429</v>
      </c>
    </row>
    <row r="91" spans="1:24" ht="12.75" x14ac:dyDescent="0.2">
      <c r="A91" s="710"/>
      <c r="B91" s="14" t="s">
        <v>238</v>
      </c>
      <c r="C91" s="7" t="s">
        <v>99</v>
      </c>
      <c r="D91" s="44" t="s">
        <v>283</v>
      </c>
      <c r="E91" s="3">
        <v>36</v>
      </c>
      <c r="F91" s="3">
        <v>0.2</v>
      </c>
      <c r="G91" s="34"/>
      <c r="H91" s="13">
        <v>0</v>
      </c>
      <c r="I91" s="29">
        <f t="shared" si="24"/>
        <v>0</v>
      </c>
      <c r="J91" s="30">
        <f t="shared" si="25"/>
        <v>0</v>
      </c>
      <c r="K91" s="93">
        <f t="shared" si="15"/>
        <v>12450</v>
      </c>
      <c r="L91" s="93">
        <f t="shared" si="16"/>
        <v>9130</v>
      </c>
      <c r="M91" s="93">
        <f t="shared" si="17"/>
        <v>8715</v>
      </c>
      <c r="N91" s="64">
        <v>8300</v>
      </c>
      <c r="O91" s="69">
        <v>4356</v>
      </c>
      <c r="P91" s="62">
        <f t="shared" si="14"/>
        <v>3944</v>
      </c>
      <c r="R91" s="105">
        <f t="shared" si="18"/>
        <v>13695</v>
      </c>
      <c r="S91" s="105">
        <f t="shared" si="19"/>
        <v>10043</v>
      </c>
      <c r="T91" s="105">
        <f t="shared" si="20"/>
        <v>9586.5</v>
      </c>
      <c r="U91" s="75">
        <f t="shared" si="21"/>
        <v>9130</v>
      </c>
      <c r="V91" s="108">
        <f t="shared" si="26"/>
        <v>4791.6000000000004</v>
      </c>
      <c r="W91" s="79">
        <f t="shared" si="23"/>
        <v>4338.3999999999996</v>
      </c>
      <c r="X91" s="86">
        <v>3429</v>
      </c>
    </row>
    <row r="92" spans="1:24" ht="12.75" x14ac:dyDescent="0.2">
      <c r="A92" s="710" t="s">
        <v>139</v>
      </c>
      <c r="B92" s="14" t="s">
        <v>375</v>
      </c>
      <c r="C92" s="8" t="s">
        <v>9</v>
      </c>
      <c r="D92" s="8"/>
      <c r="E92" s="5">
        <v>19.399999999999999</v>
      </c>
      <c r="F92" s="3">
        <v>0.1</v>
      </c>
      <c r="G92" s="3">
        <v>10</v>
      </c>
      <c r="H92" s="13">
        <v>0</v>
      </c>
      <c r="I92" s="29">
        <f t="shared" si="24"/>
        <v>0</v>
      </c>
      <c r="J92" s="30">
        <f t="shared" si="25"/>
        <v>0</v>
      </c>
      <c r="K92" s="93">
        <f t="shared" si="15"/>
        <v>3000</v>
      </c>
      <c r="L92" s="93">
        <f t="shared" si="16"/>
        <v>2200</v>
      </c>
      <c r="M92" s="93">
        <f t="shared" si="17"/>
        <v>2100</v>
      </c>
      <c r="N92" s="64">
        <v>2000</v>
      </c>
      <c r="O92" s="69"/>
      <c r="P92" s="62">
        <f t="shared" si="14"/>
        <v>2000</v>
      </c>
      <c r="R92" s="105">
        <f t="shared" si="18"/>
        <v>3300</v>
      </c>
      <c r="S92" s="105">
        <f t="shared" si="19"/>
        <v>2420</v>
      </c>
      <c r="T92" s="105">
        <f t="shared" si="20"/>
        <v>2310</v>
      </c>
      <c r="U92" s="75">
        <f t="shared" si="21"/>
        <v>2200</v>
      </c>
      <c r="V92" s="108"/>
      <c r="W92" s="79"/>
      <c r="X92" s="86"/>
    </row>
    <row r="93" spans="1:24" ht="12.75" x14ac:dyDescent="0.2">
      <c r="A93" s="710"/>
      <c r="B93" s="14" t="s">
        <v>376</v>
      </c>
      <c r="C93" s="8" t="s">
        <v>9</v>
      </c>
      <c r="D93" s="8"/>
      <c r="E93" s="5">
        <v>19.399999999999999</v>
      </c>
      <c r="F93" s="3">
        <v>0.1</v>
      </c>
      <c r="G93" s="3">
        <v>10</v>
      </c>
      <c r="H93" s="13">
        <v>0</v>
      </c>
      <c r="I93" s="29">
        <f t="shared" si="24"/>
        <v>0</v>
      </c>
      <c r="J93" s="30">
        <f t="shared" si="25"/>
        <v>0</v>
      </c>
      <c r="K93" s="93">
        <f t="shared" si="15"/>
        <v>3000</v>
      </c>
      <c r="L93" s="93">
        <f t="shared" si="16"/>
        <v>2200</v>
      </c>
      <c r="M93" s="93">
        <f t="shared" si="17"/>
        <v>2100</v>
      </c>
      <c r="N93" s="64">
        <v>2000</v>
      </c>
      <c r="O93" s="69"/>
      <c r="P93" s="62">
        <f t="shared" si="14"/>
        <v>2000</v>
      </c>
      <c r="R93" s="105">
        <f t="shared" si="18"/>
        <v>3300</v>
      </c>
      <c r="S93" s="105">
        <f t="shared" si="19"/>
        <v>2420</v>
      </c>
      <c r="T93" s="105">
        <f t="shared" si="20"/>
        <v>2310</v>
      </c>
      <c r="U93" s="75">
        <f t="shared" si="21"/>
        <v>2200</v>
      </c>
      <c r="V93" s="108"/>
      <c r="W93" s="79"/>
      <c r="X93" s="86"/>
    </row>
    <row r="94" spans="1:24" ht="12.75" x14ac:dyDescent="0.2">
      <c r="A94" s="710"/>
      <c r="B94" s="14" t="s">
        <v>377</v>
      </c>
      <c r="C94" s="8" t="s">
        <v>0</v>
      </c>
      <c r="D94" s="8"/>
      <c r="E94" s="5">
        <v>23.5</v>
      </c>
      <c r="F94" s="3">
        <v>0.1</v>
      </c>
      <c r="G94" s="3">
        <v>10</v>
      </c>
      <c r="H94" s="13">
        <v>0</v>
      </c>
      <c r="I94" s="29">
        <f t="shared" si="24"/>
        <v>0</v>
      </c>
      <c r="J94" s="30">
        <f t="shared" si="25"/>
        <v>0</v>
      </c>
      <c r="K94" s="93">
        <f t="shared" si="15"/>
        <v>3300</v>
      </c>
      <c r="L94" s="93">
        <f t="shared" si="16"/>
        <v>2420</v>
      </c>
      <c r="M94" s="93">
        <f t="shared" si="17"/>
        <v>2310</v>
      </c>
      <c r="N94" s="64">
        <v>2200</v>
      </c>
      <c r="O94" s="69"/>
      <c r="P94" s="62">
        <f t="shared" si="14"/>
        <v>2200</v>
      </c>
      <c r="R94" s="105">
        <f t="shared" si="18"/>
        <v>3630</v>
      </c>
      <c r="S94" s="105">
        <f t="shared" si="19"/>
        <v>2662</v>
      </c>
      <c r="T94" s="105">
        <f t="shared" si="20"/>
        <v>2541</v>
      </c>
      <c r="U94" s="75">
        <f t="shared" si="21"/>
        <v>2420</v>
      </c>
      <c r="V94" s="108"/>
      <c r="W94" s="79"/>
      <c r="X94" s="86"/>
    </row>
    <row r="95" spans="1:24" ht="12.75" x14ac:dyDescent="0.2">
      <c r="A95" s="710"/>
      <c r="B95" s="14" t="s">
        <v>379</v>
      </c>
      <c r="C95" s="8" t="s">
        <v>0</v>
      </c>
      <c r="D95" s="8"/>
      <c r="E95" s="5">
        <v>23.5</v>
      </c>
      <c r="F95" s="3">
        <v>0.1</v>
      </c>
      <c r="G95" s="3">
        <v>10</v>
      </c>
      <c r="H95" s="13">
        <v>0</v>
      </c>
      <c r="I95" s="29">
        <f t="shared" si="24"/>
        <v>0</v>
      </c>
      <c r="J95" s="30">
        <f t="shared" si="25"/>
        <v>0</v>
      </c>
      <c r="K95" s="93">
        <f t="shared" si="15"/>
        <v>3300</v>
      </c>
      <c r="L95" s="93">
        <f t="shared" si="16"/>
        <v>2420</v>
      </c>
      <c r="M95" s="93">
        <f t="shared" si="17"/>
        <v>2310</v>
      </c>
      <c r="N95" s="64">
        <v>2200</v>
      </c>
      <c r="O95" s="69"/>
      <c r="P95" s="62">
        <f t="shared" si="14"/>
        <v>2200</v>
      </c>
      <c r="R95" s="105">
        <f t="shared" si="18"/>
        <v>3630</v>
      </c>
      <c r="S95" s="105">
        <f t="shared" si="19"/>
        <v>2662</v>
      </c>
      <c r="T95" s="105">
        <f t="shared" si="20"/>
        <v>2541</v>
      </c>
      <c r="U95" s="75">
        <f t="shared" si="21"/>
        <v>2420</v>
      </c>
      <c r="V95" s="108"/>
      <c r="W95" s="79"/>
      <c r="X95" s="86"/>
    </row>
    <row r="96" spans="1:24" ht="12.75" x14ac:dyDescent="0.2">
      <c r="A96" s="710"/>
      <c r="B96" s="14" t="s">
        <v>378</v>
      </c>
      <c r="C96" s="8" t="s">
        <v>15</v>
      </c>
      <c r="D96" s="8"/>
      <c r="E96" s="5">
        <v>25.5</v>
      </c>
      <c r="F96" s="3">
        <v>0.2</v>
      </c>
      <c r="G96" s="3">
        <v>10</v>
      </c>
      <c r="H96" s="13">
        <v>0</v>
      </c>
      <c r="I96" s="29">
        <f t="shared" si="24"/>
        <v>0</v>
      </c>
      <c r="J96" s="30">
        <f t="shared" si="25"/>
        <v>0</v>
      </c>
      <c r="K96" s="93">
        <f t="shared" si="15"/>
        <v>3750</v>
      </c>
      <c r="L96" s="93">
        <f t="shared" si="16"/>
        <v>2750</v>
      </c>
      <c r="M96" s="93">
        <f t="shared" si="17"/>
        <v>2625</v>
      </c>
      <c r="N96" s="64">
        <v>2500</v>
      </c>
      <c r="O96" s="69"/>
      <c r="P96" s="62">
        <f t="shared" si="14"/>
        <v>2500</v>
      </c>
      <c r="R96" s="105">
        <f t="shared" si="18"/>
        <v>4125</v>
      </c>
      <c r="S96" s="105">
        <f t="shared" si="19"/>
        <v>3025.0000000000005</v>
      </c>
      <c r="T96" s="105">
        <f t="shared" si="20"/>
        <v>2887.5</v>
      </c>
      <c r="U96" s="75">
        <f t="shared" si="21"/>
        <v>2750</v>
      </c>
      <c r="V96" s="108"/>
      <c r="W96" s="79"/>
      <c r="X96" s="86"/>
    </row>
    <row r="97" spans="1:24" ht="12.75" x14ac:dyDescent="0.2">
      <c r="A97" s="710"/>
      <c r="B97" s="14" t="s">
        <v>380</v>
      </c>
      <c r="C97" s="8" t="s">
        <v>15</v>
      </c>
      <c r="D97" s="8"/>
      <c r="E97" s="5">
        <v>25.5</v>
      </c>
      <c r="F97" s="3">
        <v>0.2</v>
      </c>
      <c r="G97" s="3">
        <v>10</v>
      </c>
      <c r="H97" s="13">
        <v>0</v>
      </c>
      <c r="I97" s="29">
        <f t="shared" si="24"/>
        <v>0</v>
      </c>
      <c r="J97" s="30">
        <f t="shared" si="25"/>
        <v>0</v>
      </c>
      <c r="K97" s="93">
        <f t="shared" si="15"/>
        <v>3750</v>
      </c>
      <c r="L97" s="93">
        <f t="shared" si="16"/>
        <v>2750</v>
      </c>
      <c r="M97" s="93">
        <f t="shared" si="17"/>
        <v>2625</v>
      </c>
      <c r="N97" s="64">
        <v>2500</v>
      </c>
      <c r="O97" s="69"/>
      <c r="P97" s="62">
        <f t="shared" si="14"/>
        <v>2500</v>
      </c>
      <c r="R97" s="105">
        <f t="shared" si="18"/>
        <v>4125</v>
      </c>
      <c r="S97" s="105">
        <f t="shared" si="19"/>
        <v>3025.0000000000005</v>
      </c>
      <c r="T97" s="105">
        <f t="shared" si="20"/>
        <v>2887.5</v>
      </c>
      <c r="U97" s="75">
        <f t="shared" si="21"/>
        <v>2750</v>
      </c>
      <c r="V97" s="108"/>
      <c r="W97" s="79"/>
      <c r="X97" s="86"/>
    </row>
    <row r="98" spans="1:24" ht="12.75" x14ac:dyDescent="0.2">
      <c r="A98" s="710"/>
      <c r="B98" s="14" t="s">
        <v>307</v>
      </c>
      <c r="C98" s="8" t="s">
        <v>14</v>
      </c>
      <c r="D98" s="8"/>
      <c r="E98" s="5">
        <v>26</v>
      </c>
      <c r="F98" s="3">
        <v>0.2</v>
      </c>
      <c r="G98" s="3">
        <v>10</v>
      </c>
      <c r="H98" s="13">
        <v>0</v>
      </c>
      <c r="I98" s="29">
        <f t="shared" si="24"/>
        <v>0</v>
      </c>
      <c r="J98" s="30">
        <f t="shared" si="25"/>
        <v>0</v>
      </c>
      <c r="K98" s="93">
        <f t="shared" si="15"/>
        <v>4200</v>
      </c>
      <c r="L98" s="93">
        <f t="shared" si="16"/>
        <v>3080.0000000000005</v>
      </c>
      <c r="M98" s="93">
        <f t="shared" si="17"/>
        <v>2940</v>
      </c>
      <c r="N98" s="64">
        <v>2800</v>
      </c>
      <c r="O98" s="69"/>
      <c r="P98" s="62">
        <f t="shared" si="14"/>
        <v>2800</v>
      </c>
      <c r="R98" s="105">
        <f t="shared" si="18"/>
        <v>4620.0000000000009</v>
      </c>
      <c r="S98" s="105">
        <f t="shared" si="19"/>
        <v>3388.0000000000009</v>
      </c>
      <c r="T98" s="105">
        <f t="shared" si="20"/>
        <v>3234.0000000000005</v>
      </c>
      <c r="U98" s="75">
        <f t="shared" si="21"/>
        <v>3080.0000000000005</v>
      </c>
      <c r="V98" s="108"/>
      <c r="W98" s="79"/>
      <c r="X98" s="86"/>
    </row>
    <row r="99" spans="1:24" ht="12.75" x14ac:dyDescent="0.2">
      <c r="A99" s="710"/>
      <c r="B99" s="14" t="s">
        <v>178</v>
      </c>
      <c r="C99" s="8" t="s">
        <v>14</v>
      </c>
      <c r="D99" s="8"/>
      <c r="E99" s="5">
        <v>26</v>
      </c>
      <c r="F99" s="3">
        <v>0.2</v>
      </c>
      <c r="G99" s="3">
        <v>10</v>
      </c>
      <c r="H99" s="13">
        <v>0</v>
      </c>
      <c r="I99" s="29">
        <f t="shared" si="24"/>
        <v>0</v>
      </c>
      <c r="J99" s="30">
        <f t="shared" si="25"/>
        <v>0</v>
      </c>
      <c r="K99" s="93">
        <f t="shared" si="15"/>
        <v>3600</v>
      </c>
      <c r="L99" s="93">
        <f t="shared" si="16"/>
        <v>2640</v>
      </c>
      <c r="M99" s="93">
        <f t="shared" si="17"/>
        <v>2520</v>
      </c>
      <c r="N99" s="64">
        <v>2400</v>
      </c>
      <c r="O99" s="69"/>
      <c r="P99" s="62">
        <f t="shared" si="14"/>
        <v>2400</v>
      </c>
      <c r="R99" s="105">
        <f t="shared" si="18"/>
        <v>3960</v>
      </c>
      <c r="S99" s="105">
        <f t="shared" si="19"/>
        <v>2904.0000000000005</v>
      </c>
      <c r="T99" s="105">
        <f t="shared" si="20"/>
        <v>2772</v>
      </c>
      <c r="U99" s="75">
        <f t="shared" si="21"/>
        <v>2640</v>
      </c>
      <c r="V99" s="108"/>
      <c r="W99" s="79"/>
      <c r="X99" s="86"/>
    </row>
    <row r="100" spans="1:24" ht="12.75" x14ac:dyDescent="0.2">
      <c r="A100" s="710"/>
      <c r="B100" s="14" t="s">
        <v>179</v>
      </c>
      <c r="C100" s="8" t="s">
        <v>14</v>
      </c>
      <c r="D100" s="8"/>
      <c r="E100" s="5">
        <v>26</v>
      </c>
      <c r="F100" s="3">
        <v>0.2</v>
      </c>
      <c r="G100" s="3">
        <v>10</v>
      </c>
      <c r="H100" s="13">
        <v>0</v>
      </c>
      <c r="I100" s="29">
        <f t="shared" si="24"/>
        <v>0</v>
      </c>
      <c r="J100" s="30">
        <f t="shared" si="25"/>
        <v>0</v>
      </c>
      <c r="K100" s="93">
        <f t="shared" si="15"/>
        <v>3600</v>
      </c>
      <c r="L100" s="93">
        <f t="shared" si="16"/>
        <v>2640</v>
      </c>
      <c r="M100" s="93">
        <f t="shared" si="17"/>
        <v>2520</v>
      </c>
      <c r="N100" s="64">
        <v>2400</v>
      </c>
      <c r="O100" s="69"/>
      <c r="P100" s="62">
        <f t="shared" si="14"/>
        <v>2400</v>
      </c>
      <c r="R100" s="105">
        <f t="shared" si="18"/>
        <v>3960</v>
      </c>
      <c r="S100" s="105">
        <f t="shared" si="19"/>
        <v>2904.0000000000005</v>
      </c>
      <c r="T100" s="105">
        <f t="shared" si="20"/>
        <v>2772</v>
      </c>
      <c r="U100" s="75">
        <f t="shared" si="21"/>
        <v>2640</v>
      </c>
      <c r="V100" s="108"/>
      <c r="W100" s="79"/>
      <c r="X100" s="86"/>
    </row>
    <row r="101" spans="1:24" ht="12.75" x14ac:dyDescent="0.2">
      <c r="A101" s="710"/>
      <c r="B101" s="14" t="s">
        <v>381</v>
      </c>
      <c r="C101" s="7" t="s">
        <v>76</v>
      </c>
      <c r="D101" s="7"/>
      <c r="E101" s="5">
        <v>14.5</v>
      </c>
      <c r="F101" s="3">
        <v>0.27</v>
      </c>
      <c r="G101" s="3">
        <v>6</v>
      </c>
      <c r="H101" s="13">
        <v>0</v>
      </c>
      <c r="I101" s="29">
        <f t="shared" si="24"/>
        <v>0</v>
      </c>
      <c r="J101" s="30">
        <f t="shared" si="25"/>
        <v>0</v>
      </c>
      <c r="K101" s="93">
        <f t="shared" si="15"/>
        <v>8100</v>
      </c>
      <c r="L101" s="93">
        <f t="shared" si="16"/>
        <v>5940.0000000000009</v>
      </c>
      <c r="M101" s="93">
        <f t="shared" si="17"/>
        <v>5670</v>
      </c>
      <c r="N101" s="64">
        <v>5400</v>
      </c>
      <c r="O101" s="69"/>
      <c r="P101" s="62">
        <f t="shared" si="14"/>
        <v>5400</v>
      </c>
      <c r="R101" s="105">
        <f t="shared" si="18"/>
        <v>8910.0000000000018</v>
      </c>
      <c r="S101" s="105">
        <f t="shared" si="19"/>
        <v>6534.0000000000018</v>
      </c>
      <c r="T101" s="105">
        <f t="shared" si="20"/>
        <v>6237.0000000000009</v>
      </c>
      <c r="U101" s="75">
        <f t="shared" si="21"/>
        <v>5940.0000000000009</v>
      </c>
      <c r="V101" s="108"/>
      <c r="W101" s="79"/>
      <c r="X101" s="86"/>
    </row>
    <row r="102" spans="1:24" ht="12.75" x14ac:dyDescent="0.2">
      <c r="A102" s="710"/>
      <c r="B102" s="14" t="s">
        <v>382</v>
      </c>
      <c r="C102" s="7" t="s">
        <v>76</v>
      </c>
      <c r="D102" s="7"/>
      <c r="E102" s="5">
        <v>14.5</v>
      </c>
      <c r="F102" s="3">
        <v>0.27</v>
      </c>
      <c r="G102" s="3">
        <v>6</v>
      </c>
      <c r="H102" s="13">
        <v>0</v>
      </c>
      <c r="I102" s="29">
        <f t="shared" si="24"/>
        <v>0</v>
      </c>
      <c r="J102" s="30">
        <f t="shared" si="25"/>
        <v>0</v>
      </c>
      <c r="K102" s="93">
        <f t="shared" si="15"/>
        <v>6870</v>
      </c>
      <c r="L102" s="93">
        <f t="shared" si="16"/>
        <v>5038</v>
      </c>
      <c r="M102" s="93">
        <f t="shared" si="17"/>
        <v>4809</v>
      </c>
      <c r="N102" s="64">
        <v>4580</v>
      </c>
      <c r="O102" s="69"/>
      <c r="P102" s="62">
        <f t="shared" si="14"/>
        <v>4580</v>
      </c>
      <c r="R102" s="105">
        <f t="shared" si="18"/>
        <v>7557</v>
      </c>
      <c r="S102" s="105">
        <f t="shared" si="19"/>
        <v>5541.8</v>
      </c>
      <c r="T102" s="105">
        <f t="shared" si="20"/>
        <v>5289.9000000000005</v>
      </c>
      <c r="U102" s="75">
        <f t="shared" si="21"/>
        <v>5038</v>
      </c>
      <c r="V102" s="108"/>
      <c r="W102" s="79"/>
      <c r="X102" s="86"/>
    </row>
    <row r="103" spans="1:24" ht="12.75" x14ac:dyDescent="0.2">
      <c r="A103" s="710"/>
      <c r="B103" s="14" t="s">
        <v>383</v>
      </c>
      <c r="C103" s="7" t="s">
        <v>76</v>
      </c>
      <c r="D103" s="7"/>
      <c r="E103" s="5">
        <v>14.5</v>
      </c>
      <c r="F103" s="3">
        <v>0.27</v>
      </c>
      <c r="G103" s="3">
        <v>6</v>
      </c>
      <c r="H103" s="13">
        <v>0</v>
      </c>
      <c r="I103" s="29">
        <f t="shared" si="24"/>
        <v>0</v>
      </c>
      <c r="J103" s="30">
        <f t="shared" si="25"/>
        <v>0</v>
      </c>
      <c r="K103" s="93">
        <f t="shared" si="15"/>
        <v>6870</v>
      </c>
      <c r="L103" s="93">
        <f t="shared" si="16"/>
        <v>5038</v>
      </c>
      <c r="M103" s="93">
        <f t="shared" si="17"/>
        <v>4809</v>
      </c>
      <c r="N103" s="64">
        <v>4580</v>
      </c>
      <c r="O103" s="69"/>
      <c r="P103" s="62">
        <f t="shared" si="14"/>
        <v>4580</v>
      </c>
      <c r="R103" s="105">
        <f t="shared" si="18"/>
        <v>7557</v>
      </c>
      <c r="S103" s="105">
        <f t="shared" si="19"/>
        <v>5541.8</v>
      </c>
      <c r="T103" s="105">
        <f t="shared" si="20"/>
        <v>5289.9000000000005</v>
      </c>
      <c r="U103" s="75">
        <f t="shared" si="21"/>
        <v>5038</v>
      </c>
      <c r="V103" s="108"/>
      <c r="W103" s="79"/>
      <c r="X103" s="86"/>
    </row>
    <row r="104" spans="1:24" ht="12.75" x14ac:dyDescent="0.2">
      <c r="A104" s="710"/>
      <c r="B104" s="14" t="s">
        <v>239</v>
      </c>
      <c r="C104" s="7" t="s">
        <v>101</v>
      </c>
      <c r="D104" s="44" t="s">
        <v>281</v>
      </c>
      <c r="E104" s="5">
        <v>19.399999999999999</v>
      </c>
      <c r="F104" s="3">
        <v>0.22</v>
      </c>
      <c r="G104" s="3"/>
      <c r="H104" s="13">
        <v>0</v>
      </c>
      <c r="I104" s="29">
        <f t="shared" si="24"/>
        <v>0</v>
      </c>
      <c r="J104" s="30">
        <f t="shared" si="25"/>
        <v>0</v>
      </c>
      <c r="K104" s="93">
        <f t="shared" si="15"/>
        <v>8850</v>
      </c>
      <c r="L104" s="93">
        <f t="shared" si="16"/>
        <v>6490.0000000000009</v>
      </c>
      <c r="M104" s="93">
        <f t="shared" si="17"/>
        <v>6195</v>
      </c>
      <c r="N104" s="64">
        <v>5900</v>
      </c>
      <c r="O104" s="69">
        <v>3340</v>
      </c>
      <c r="P104" s="62">
        <f t="shared" si="14"/>
        <v>2560</v>
      </c>
      <c r="R104" s="105">
        <f t="shared" si="18"/>
        <v>9735.0000000000018</v>
      </c>
      <c r="S104" s="105">
        <f t="shared" si="19"/>
        <v>7139.0000000000018</v>
      </c>
      <c r="T104" s="105">
        <f t="shared" si="20"/>
        <v>6814.5000000000009</v>
      </c>
      <c r="U104" s="75">
        <f t="shared" si="21"/>
        <v>6490.0000000000009</v>
      </c>
      <c r="V104" s="108">
        <f t="shared" ref="V104:V115" si="27">O104*1.1</f>
        <v>3674.0000000000005</v>
      </c>
      <c r="W104" s="79">
        <f t="shared" si="23"/>
        <v>2816.0000000000005</v>
      </c>
      <c r="X104" s="86">
        <v>2293</v>
      </c>
    </row>
    <row r="105" spans="1:24" ht="12.75" x14ac:dyDescent="0.2">
      <c r="A105" s="710"/>
      <c r="B105" s="14" t="s">
        <v>243</v>
      </c>
      <c r="C105" s="7" t="s">
        <v>101</v>
      </c>
      <c r="D105" s="44" t="s">
        <v>281</v>
      </c>
      <c r="E105" s="5">
        <v>19.399999999999999</v>
      </c>
      <c r="F105" s="3">
        <v>0.22</v>
      </c>
      <c r="G105" s="3"/>
      <c r="H105" s="13">
        <v>0</v>
      </c>
      <c r="I105" s="29">
        <f t="shared" si="24"/>
        <v>0</v>
      </c>
      <c r="J105" s="30">
        <f t="shared" si="25"/>
        <v>0</v>
      </c>
      <c r="K105" s="93">
        <f t="shared" si="15"/>
        <v>8250</v>
      </c>
      <c r="L105" s="93">
        <f t="shared" si="16"/>
        <v>6050.0000000000009</v>
      </c>
      <c r="M105" s="93">
        <f t="shared" si="17"/>
        <v>5775</v>
      </c>
      <c r="N105" s="64">
        <v>5500</v>
      </c>
      <c r="O105" s="69">
        <v>2940</v>
      </c>
      <c r="P105" s="62">
        <f t="shared" si="14"/>
        <v>2560</v>
      </c>
      <c r="R105" s="105">
        <f t="shared" si="18"/>
        <v>9075.0000000000018</v>
      </c>
      <c r="S105" s="105">
        <f t="shared" si="19"/>
        <v>6655.0000000000018</v>
      </c>
      <c r="T105" s="105">
        <f t="shared" si="20"/>
        <v>6352.5000000000009</v>
      </c>
      <c r="U105" s="75">
        <f t="shared" si="21"/>
        <v>6050.0000000000009</v>
      </c>
      <c r="V105" s="108">
        <f t="shared" si="27"/>
        <v>3234.0000000000005</v>
      </c>
      <c r="W105" s="79">
        <f t="shared" si="23"/>
        <v>2816.0000000000005</v>
      </c>
      <c r="X105" s="86">
        <v>2293</v>
      </c>
    </row>
    <row r="106" spans="1:24" ht="12.75" x14ac:dyDescent="0.2">
      <c r="A106" s="710"/>
      <c r="B106" s="14" t="s">
        <v>249</v>
      </c>
      <c r="C106" s="7" t="s">
        <v>101</v>
      </c>
      <c r="D106" s="44" t="s">
        <v>281</v>
      </c>
      <c r="E106" s="5">
        <v>19.399999999999999</v>
      </c>
      <c r="F106" s="3">
        <v>0.22</v>
      </c>
      <c r="G106" s="3"/>
      <c r="H106" s="13">
        <v>0</v>
      </c>
      <c r="I106" s="29">
        <f t="shared" si="24"/>
        <v>0</v>
      </c>
      <c r="J106" s="30">
        <f t="shared" si="25"/>
        <v>0</v>
      </c>
      <c r="K106" s="93">
        <f t="shared" si="15"/>
        <v>8250</v>
      </c>
      <c r="L106" s="93">
        <f t="shared" si="16"/>
        <v>6050.0000000000009</v>
      </c>
      <c r="M106" s="93">
        <f t="shared" si="17"/>
        <v>5775</v>
      </c>
      <c r="N106" s="64">
        <v>5500</v>
      </c>
      <c r="O106" s="69">
        <v>2940</v>
      </c>
      <c r="P106" s="62">
        <f t="shared" si="14"/>
        <v>2560</v>
      </c>
      <c r="R106" s="105">
        <f t="shared" si="18"/>
        <v>9075.0000000000018</v>
      </c>
      <c r="S106" s="105">
        <f t="shared" si="19"/>
        <v>6655.0000000000018</v>
      </c>
      <c r="T106" s="105">
        <f t="shared" si="20"/>
        <v>6352.5000000000009</v>
      </c>
      <c r="U106" s="75">
        <f t="shared" si="21"/>
        <v>6050.0000000000009</v>
      </c>
      <c r="V106" s="108">
        <f t="shared" si="27"/>
        <v>3234.0000000000005</v>
      </c>
      <c r="W106" s="79">
        <f t="shared" si="23"/>
        <v>2816.0000000000005</v>
      </c>
      <c r="X106" s="86">
        <v>2293</v>
      </c>
    </row>
    <row r="107" spans="1:24" ht="12.75" x14ac:dyDescent="0.2">
      <c r="A107" s="710"/>
      <c r="B107" s="14" t="s">
        <v>240</v>
      </c>
      <c r="C107" s="7" t="s">
        <v>102</v>
      </c>
      <c r="D107" s="44" t="s">
        <v>282</v>
      </c>
      <c r="E107" s="3">
        <v>32</v>
      </c>
      <c r="F107" s="3">
        <v>0.24</v>
      </c>
      <c r="G107" s="34"/>
      <c r="H107" s="13">
        <v>0</v>
      </c>
      <c r="I107" s="29">
        <f t="shared" si="24"/>
        <v>0</v>
      </c>
      <c r="J107" s="30">
        <f t="shared" si="25"/>
        <v>0</v>
      </c>
      <c r="K107" s="93">
        <f t="shared" si="15"/>
        <v>9525</v>
      </c>
      <c r="L107" s="93">
        <f t="shared" si="16"/>
        <v>6985.0000000000009</v>
      </c>
      <c r="M107" s="93">
        <f t="shared" si="17"/>
        <v>6667.5</v>
      </c>
      <c r="N107" s="64">
        <v>6350</v>
      </c>
      <c r="O107" s="69">
        <v>3280</v>
      </c>
      <c r="P107" s="62">
        <f t="shared" si="14"/>
        <v>3070</v>
      </c>
      <c r="R107" s="105">
        <f t="shared" si="18"/>
        <v>10477.500000000002</v>
      </c>
      <c r="S107" s="105">
        <f t="shared" si="19"/>
        <v>7683.5000000000018</v>
      </c>
      <c r="T107" s="105">
        <f t="shared" si="20"/>
        <v>7334.2500000000009</v>
      </c>
      <c r="U107" s="75">
        <f t="shared" si="21"/>
        <v>6985.0000000000009</v>
      </c>
      <c r="V107" s="108">
        <f t="shared" si="27"/>
        <v>3608.0000000000005</v>
      </c>
      <c r="W107" s="79">
        <f t="shared" si="23"/>
        <v>3377.0000000000005</v>
      </c>
      <c r="X107" s="86">
        <v>2736</v>
      </c>
    </row>
    <row r="108" spans="1:24" ht="12.75" x14ac:dyDescent="0.2">
      <c r="A108" s="710"/>
      <c r="B108" s="14" t="s">
        <v>244</v>
      </c>
      <c r="C108" s="7" t="s">
        <v>102</v>
      </c>
      <c r="D108" s="44" t="s">
        <v>282</v>
      </c>
      <c r="E108" s="3">
        <v>32</v>
      </c>
      <c r="F108" s="3">
        <v>0.24</v>
      </c>
      <c r="G108" s="34"/>
      <c r="H108" s="13">
        <v>0</v>
      </c>
      <c r="I108" s="29">
        <f t="shared" si="24"/>
        <v>0</v>
      </c>
      <c r="J108" s="30">
        <f t="shared" si="25"/>
        <v>0</v>
      </c>
      <c r="K108" s="93">
        <f t="shared" si="15"/>
        <v>8775</v>
      </c>
      <c r="L108" s="93">
        <f t="shared" si="16"/>
        <v>6435.0000000000009</v>
      </c>
      <c r="M108" s="93">
        <f t="shared" si="17"/>
        <v>6142.5</v>
      </c>
      <c r="N108" s="64">
        <v>5850</v>
      </c>
      <c r="O108" s="69">
        <v>2780</v>
      </c>
      <c r="P108" s="62">
        <f t="shared" si="14"/>
        <v>3070</v>
      </c>
      <c r="R108" s="105">
        <f t="shared" si="18"/>
        <v>9652.5000000000018</v>
      </c>
      <c r="S108" s="105">
        <f t="shared" si="19"/>
        <v>7078.5000000000018</v>
      </c>
      <c r="T108" s="105">
        <f t="shared" si="20"/>
        <v>6756.7500000000009</v>
      </c>
      <c r="U108" s="75">
        <f t="shared" si="21"/>
        <v>6435.0000000000009</v>
      </c>
      <c r="V108" s="108">
        <f t="shared" si="27"/>
        <v>3058.0000000000005</v>
      </c>
      <c r="W108" s="79">
        <f t="shared" si="23"/>
        <v>3377.0000000000005</v>
      </c>
      <c r="X108" s="86">
        <v>2736</v>
      </c>
    </row>
    <row r="109" spans="1:24" ht="12.75" x14ac:dyDescent="0.2">
      <c r="A109" s="710"/>
      <c r="B109" s="14" t="s">
        <v>315</v>
      </c>
      <c r="C109" s="7" t="s">
        <v>102</v>
      </c>
      <c r="D109" s="44" t="s">
        <v>282</v>
      </c>
      <c r="E109" s="3">
        <v>32</v>
      </c>
      <c r="F109" s="3">
        <v>0.24</v>
      </c>
      <c r="G109" s="34"/>
      <c r="H109" s="13">
        <v>0</v>
      </c>
      <c r="I109" s="29">
        <f t="shared" si="24"/>
        <v>0</v>
      </c>
      <c r="J109" s="30">
        <f t="shared" si="25"/>
        <v>0</v>
      </c>
      <c r="K109" s="93">
        <f t="shared" si="15"/>
        <v>8775</v>
      </c>
      <c r="L109" s="93">
        <f t="shared" si="16"/>
        <v>6435.0000000000009</v>
      </c>
      <c r="M109" s="93">
        <f t="shared" si="17"/>
        <v>6142.5</v>
      </c>
      <c r="N109" s="64">
        <v>5850</v>
      </c>
      <c r="O109" s="69">
        <v>2780</v>
      </c>
      <c r="P109" s="62">
        <f t="shared" si="14"/>
        <v>3070</v>
      </c>
      <c r="R109" s="105">
        <f t="shared" si="18"/>
        <v>9652.5000000000018</v>
      </c>
      <c r="S109" s="105">
        <f t="shared" si="19"/>
        <v>7078.5000000000018</v>
      </c>
      <c r="T109" s="105">
        <f t="shared" si="20"/>
        <v>6756.7500000000009</v>
      </c>
      <c r="U109" s="75">
        <f t="shared" si="21"/>
        <v>6435.0000000000009</v>
      </c>
      <c r="V109" s="108">
        <f t="shared" si="27"/>
        <v>3058.0000000000005</v>
      </c>
      <c r="W109" s="79">
        <f t="shared" si="23"/>
        <v>3377.0000000000005</v>
      </c>
      <c r="X109" s="86">
        <v>2736</v>
      </c>
    </row>
    <row r="110" spans="1:24" ht="12.75" x14ac:dyDescent="0.2">
      <c r="A110" s="710"/>
      <c r="B110" s="14" t="s">
        <v>241</v>
      </c>
      <c r="C110" s="7" t="s">
        <v>103</v>
      </c>
      <c r="D110" s="44" t="s">
        <v>283</v>
      </c>
      <c r="E110" s="3">
        <v>35</v>
      </c>
      <c r="F110" s="3">
        <v>0.3</v>
      </c>
      <c r="G110" s="34"/>
      <c r="H110" s="13">
        <v>0</v>
      </c>
      <c r="I110" s="29">
        <f t="shared" si="24"/>
        <v>0</v>
      </c>
      <c r="J110" s="30">
        <f t="shared" si="25"/>
        <v>0</v>
      </c>
      <c r="K110" s="93">
        <f t="shared" si="15"/>
        <v>14250</v>
      </c>
      <c r="L110" s="93">
        <f t="shared" si="16"/>
        <v>10450</v>
      </c>
      <c r="M110" s="93">
        <f t="shared" si="17"/>
        <v>9975</v>
      </c>
      <c r="N110" s="64">
        <v>9500</v>
      </c>
      <c r="O110" s="69">
        <v>5556</v>
      </c>
      <c r="P110" s="62">
        <f t="shared" si="14"/>
        <v>3944</v>
      </c>
      <c r="R110" s="105">
        <f t="shared" si="18"/>
        <v>15675</v>
      </c>
      <c r="S110" s="105">
        <f t="shared" si="19"/>
        <v>11495.000000000002</v>
      </c>
      <c r="T110" s="105">
        <f t="shared" si="20"/>
        <v>10972.5</v>
      </c>
      <c r="U110" s="75">
        <f t="shared" si="21"/>
        <v>10450</v>
      </c>
      <c r="V110" s="108">
        <f t="shared" si="27"/>
        <v>6111.6</v>
      </c>
      <c r="W110" s="79">
        <f t="shared" si="23"/>
        <v>4338.3999999999996</v>
      </c>
      <c r="X110" s="86">
        <v>3429</v>
      </c>
    </row>
    <row r="111" spans="1:24" ht="12.75" x14ac:dyDescent="0.2">
      <c r="A111" s="710"/>
      <c r="B111" s="14" t="s">
        <v>245</v>
      </c>
      <c r="C111" s="7" t="s">
        <v>103</v>
      </c>
      <c r="D111" s="44" t="s">
        <v>283</v>
      </c>
      <c r="E111" s="3">
        <v>35</v>
      </c>
      <c r="F111" s="3">
        <v>0.3</v>
      </c>
      <c r="G111" s="34"/>
      <c r="H111" s="13">
        <v>0</v>
      </c>
      <c r="I111" s="29">
        <f t="shared" si="24"/>
        <v>0</v>
      </c>
      <c r="J111" s="30">
        <f t="shared" si="25"/>
        <v>0</v>
      </c>
      <c r="K111" s="93">
        <f t="shared" si="15"/>
        <v>13200</v>
      </c>
      <c r="L111" s="93">
        <f t="shared" si="16"/>
        <v>9680</v>
      </c>
      <c r="M111" s="93">
        <f t="shared" si="17"/>
        <v>9240</v>
      </c>
      <c r="N111" s="64">
        <v>8800</v>
      </c>
      <c r="O111" s="69">
        <v>4856.7</v>
      </c>
      <c r="P111" s="62">
        <f t="shared" si="14"/>
        <v>3943.3</v>
      </c>
      <c r="R111" s="105">
        <f t="shared" si="18"/>
        <v>14520</v>
      </c>
      <c r="S111" s="105">
        <f t="shared" si="19"/>
        <v>10648</v>
      </c>
      <c r="T111" s="105">
        <f t="shared" si="20"/>
        <v>10164</v>
      </c>
      <c r="U111" s="75">
        <f t="shared" si="21"/>
        <v>9680</v>
      </c>
      <c r="V111" s="108">
        <f t="shared" si="27"/>
        <v>5342.37</v>
      </c>
      <c r="W111" s="79">
        <f t="shared" si="23"/>
        <v>4337.63</v>
      </c>
      <c r="X111" s="86">
        <v>3429</v>
      </c>
    </row>
    <row r="112" spans="1:24" ht="12.75" x14ac:dyDescent="0.2">
      <c r="A112" s="710"/>
      <c r="B112" s="14" t="s">
        <v>248</v>
      </c>
      <c r="C112" s="7" t="s">
        <v>103</v>
      </c>
      <c r="D112" s="44" t="s">
        <v>283</v>
      </c>
      <c r="E112" s="3">
        <v>35</v>
      </c>
      <c r="F112" s="3">
        <v>0.3</v>
      </c>
      <c r="G112" s="34"/>
      <c r="H112" s="13">
        <v>0</v>
      </c>
      <c r="I112" s="29">
        <f t="shared" si="24"/>
        <v>0</v>
      </c>
      <c r="J112" s="30">
        <f t="shared" si="25"/>
        <v>0</v>
      </c>
      <c r="K112" s="93">
        <f t="shared" si="15"/>
        <v>13200</v>
      </c>
      <c r="L112" s="93">
        <f t="shared" si="16"/>
        <v>9680</v>
      </c>
      <c r="M112" s="93">
        <f t="shared" si="17"/>
        <v>9240</v>
      </c>
      <c r="N112" s="64">
        <v>8800</v>
      </c>
      <c r="O112" s="69">
        <v>4856.7</v>
      </c>
      <c r="P112" s="62">
        <f t="shared" si="14"/>
        <v>3943.3</v>
      </c>
      <c r="R112" s="105">
        <f t="shared" si="18"/>
        <v>14520</v>
      </c>
      <c r="S112" s="105">
        <f t="shared" si="19"/>
        <v>10648</v>
      </c>
      <c r="T112" s="105">
        <f t="shared" si="20"/>
        <v>10164</v>
      </c>
      <c r="U112" s="75">
        <f t="shared" si="21"/>
        <v>9680</v>
      </c>
      <c r="V112" s="108">
        <f t="shared" si="27"/>
        <v>5342.37</v>
      </c>
      <c r="W112" s="79">
        <f t="shared" si="23"/>
        <v>4337.63</v>
      </c>
      <c r="X112" s="86">
        <v>3429</v>
      </c>
    </row>
    <row r="113" spans="1:24" ht="25.5" x14ac:dyDescent="0.2">
      <c r="A113" s="710"/>
      <c r="B113" s="14" t="s">
        <v>242</v>
      </c>
      <c r="C113" s="7" t="s">
        <v>100</v>
      </c>
      <c r="D113" s="44" t="s">
        <v>290</v>
      </c>
      <c r="E113" s="5">
        <v>43.5</v>
      </c>
      <c r="F113" s="3">
        <v>0.42</v>
      </c>
      <c r="G113" s="3"/>
      <c r="H113" s="13">
        <v>0</v>
      </c>
      <c r="I113" s="29">
        <f t="shared" si="24"/>
        <v>0</v>
      </c>
      <c r="J113" s="30">
        <f t="shared" si="25"/>
        <v>0</v>
      </c>
      <c r="K113" s="93">
        <f t="shared" si="15"/>
        <v>18750</v>
      </c>
      <c r="L113" s="93">
        <f t="shared" si="16"/>
        <v>13750.000000000002</v>
      </c>
      <c r="M113" s="93">
        <f t="shared" si="17"/>
        <v>13125</v>
      </c>
      <c r="N113" s="64">
        <v>12500</v>
      </c>
      <c r="O113" s="69">
        <v>5956.5</v>
      </c>
      <c r="P113" s="62">
        <f t="shared" si="14"/>
        <v>6543.5</v>
      </c>
      <c r="R113" s="105">
        <f t="shared" si="18"/>
        <v>20625.000000000004</v>
      </c>
      <c r="S113" s="105">
        <f t="shared" si="19"/>
        <v>15125.000000000004</v>
      </c>
      <c r="T113" s="105">
        <f t="shared" si="20"/>
        <v>14437.500000000002</v>
      </c>
      <c r="U113" s="75">
        <f t="shared" si="21"/>
        <v>13750.000000000002</v>
      </c>
      <c r="V113" s="108">
        <f t="shared" si="27"/>
        <v>6552.1500000000005</v>
      </c>
      <c r="W113" s="79">
        <f t="shared" si="23"/>
        <v>7197.8500000000013</v>
      </c>
      <c r="X113" s="86">
        <v>7050</v>
      </c>
    </row>
    <row r="114" spans="1:24" ht="25.5" x14ac:dyDescent="0.2">
      <c r="A114" s="710"/>
      <c r="B114" s="14" t="s">
        <v>246</v>
      </c>
      <c r="C114" s="7" t="s">
        <v>100</v>
      </c>
      <c r="D114" s="44" t="s">
        <v>290</v>
      </c>
      <c r="E114" s="5">
        <v>43.5</v>
      </c>
      <c r="F114" s="3">
        <v>0.42</v>
      </c>
      <c r="G114" s="3"/>
      <c r="H114" s="13">
        <v>0</v>
      </c>
      <c r="I114" s="29">
        <f t="shared" si="24"/>
        <v>0</v>
      </c>
      <c r="J114" s="30">
        <f t="shared" si="25"/>
        <v>0</v>
      </c>
      <c r="K114" s="93">
        <f t="shared" si="15"/>
        <v>17700</v>
      </c>
      <c r="L114" s="93">
        <f t="shared" si="16"/>
        <v>12980.000000000002</v>
      </c>
      <c r="M114" s="93">
        <f t="shared" si="17"/>
        <v>12390</v>
      </c>
      <c r="N114" s="64">
        <v>11800</v>
      </c>
      <c r="O114" s="69">
        <v>5256.5</v>
      </c>
      <c r="P114" s="62">
        <f t="shared" si="14"/>
        <v>6543.5</v>
      </c>
      <c r="R114" s="105">
        <f t="shared" si="18"/>
        <v>19470.000000000004</v>
      </c>
      <c r="S114" s="105">
        <f t="shared" si="19"/>
        <v>14278.000000000004</v>
      </c>
      <c r="T114" s="105">
        <f t="shared" si="20"/>
        <v>13629.000000000002</v>
      </c>
      <c r="U114" s="75">
        <f t="shared" si="21"/>
        <v>12980.000000000002</v>
      </c>
      <c r="V114" s="108">
        <f t="shared" si="27"/>
        <v>5782.1500000000005</v>
      </c>
      <c r="W114" s="79">
        <f t="shared" si="23"/>
        <v>7197.8500000000013</v>
      </c>
      <c r="X114" s="86">
        <v>7050</v>
      </c>
    </row>
    <row r="115" spans="1:24" ht="25.5" x14ac:dyDescent="0.2">
      <c r="A115" s="710"/>
      <c r="B115" s="14" t="s">
        <v>247</v>
      </c>
      <c r="C115" s="7" t="s">
        <v>100</v>
      </c>
      <c r="D115" s="44" t="s">
        <v>290</v>
      </c>
      <c r="E115" s="5">
        <v>43.5</v>
      </c>
      <c r="F115" s="3">
        <v>0.42</v>
      </c>
      <c r="G115" s="3"/>
      <c r="H115" s="13">
        <v>0</v>
      </c>
      <c r="I115" s="29">
        <f t="shared" si="24"/>
        <v>0</v>
      </c>
      <c r="J115" s="30">
        <f t="shared" si="25"/>
        <v>0</v>
      </c>
      <c r="K115" s="93">
        <f t="shared" si="15"/>
        <v>17700</v>
      </c>
      <c r="L115" s="93">
        <f t="shared" si="16"/>
        <v>12980.000000000002</v>
      </c>
      <c r="M115" s="93">
        <f t="shared" si="17"/>
        <v>12390</v>
      </c>
      <c r="N115" s="64">
        <v>11800</v>
      </c>
      <c r="O115" s="69">
        <v>5256.5</v>
      </c>
      <c r="P115" s="62">
        <f t="shared" ref="P115:P164" si="28">N115-O115</f>
        <v>6543.5</v>
      </c>
      <c r="R115" s="105">
        <f t="shared" si="18"/>
        <v>19470.000000000004</v>
      </c>
      <c r="S115" s="105">
        <f t="shared" si="19"/>
        <v>14278.000000000004</v>
      </c>
      <c r="T115" s="105">
        <f t="shared" si="20"/>
        <v>13629.000000000002</v>
      </c>
      <c r="U115" s="75">
        <f t="shared" si="21"/>
        <v>12980.000000000002</v>
      </c>
      <c r="V115" s="108">
        <f t="shared" si="27"/>
        <v>5782.1500000000005</v>
      </c>
      <c r="W115" s="79">
        <f t="shared" si="23"/>
        <v>7197.8500000000013</v>
      </c>
      <c r="X115" s="86">
        <v>7050</v>
      </c>
    </row>
    <row r="116" spans="1:24" ht="12.75" x14ac:dyDescent="0.2">
      <c r="A116" s="710" t="s">
        <v>161</v>
      </c>
      <c r="B116" s="14" t="s">
        <v>409</v>
      </c>
      <c r="C116" s="8" t="s">
        <v>13</v>
      </c>
      <c r="D116" s="8"/>
      <c r="E116" s="5">
        <v>16</v>
      </c>
      <c r="F116" s="3">
        <v>0.09</v>
      </c>
      <c r="G116" s="3">
        <v>20</v>
      </c>
      <c r="H116" s="13">
        <v>0</v>
      </c>
      <c r="I116" s="29">
        <f t="shared" ref="I116:I147" si="29">H116*E116</f>
        <v>0</v>
      </c>
      <c r="J116" s="30">
        <f t="shared" ref="J116:J147" si="30">F116*H116</f>
        <v>0</v>
      </c>
      <c r="K116" s="93">
        <f t="shared" si="15"/>
        <v>4125</v>
      </c>
      <c r="L116" s="93">
        <f t="shared" si="16"/>
        <v>3025.0000000000005</v>
      </c>
      <c r="M116" s="93">
        <f t="shared" si="17"/>
        <v>2887.5</v>
      </c>
      <c r="N116" s="64">
        <v>2750</v>
      </c>
      <c r="O116" s="69"/>
      <c r="P116" s="62">
        <f t="shared" si="28"/>
        <v>2750</v>
      </c>
      <c r="R116" s="105">
        <f t="shared" si="18"/>
        <v>4537.5000000000009</v>
      </c>
      <c r="S116" s="105">
        <f t="shared" si="19"/>
        <v>3327.5000000000009</v>
      </c>
      <c r="T116" s="105">
        <f t="shared" si="20"/>
        <v>3176.2500000000005</v>
      </c>
      <c r="U116" s="75">
        <f t="shared" si="21"/>
        <v>3025.0000000000005</v>
      </c>
      <c r="V116" s="108"/>
      <c r="W116" s="79"/>
      <c r="X116" s="86"/>
    </row>
    <row r="117" spans="1:24" ht="12.75" x14ac:dyDescent="0.2">
      <c r="A117" s="710"/>
      <c r="B117" s="14" t="s">
        <v>410</v>
      </c>
      <c r="C117" s="7" t="s">
        <v>75</v>
      </c>
      <c r="D117" s="7"/>
      <c r="E117" s="5">
        <v>33</v>
      </c>
      <c r="F117" s="3">
        <v>0.1</v>
      </c>
      <c r="G117" s="3">
        <v>6</v>
      </c>
      <c r="H117" s="13">
        <v>0</v>
      </c>
      <c r="I117" s="29">
        <f t="shared" si="29"/>
        <v>0</v>
      </c>
      <c r="J117" s="30">
        <f t="shared" si="30"/>
        <v>0</v>
      </c>
      <c r="K117" s="93">
        <f t="shared" si="15"/>
        <v>7800</v>
      </c>
      <c r="L117" s="93">
        <f t="shared" si="16"/>
        <v>5720.0000000000009</v>
      </c>
      <c r="M117" s="93">
        <f t="shared" si="17"/>
        <v>5460</v>
      </c>
      <c r="N117" s="64">
        <v>5200</v>
      </c>
      <c r="O117" s="69"/>
      <c r="P117" s="62">
        <f t="shared" si="28"/>
        <v>5200</v>
      </c>
      <c r="R117" s="105">
        <f t="shared" si="18"/>
        <v>8580.0000000000018</v>
      </c>
      <c r="S117" s="105">
        <f t="shared" si="19"/>
        <v>6292.0000000000018</v>
      </c>
      <c r="T117" s="105">
        <f t="shared" si="20"/>
        <v>6006.0000000000009</v>
      </c>
      <c r="U117" s="75">
        <f t="shared" si="21"/>
        <v>5720.0000000000009</v>
      </c>
      <c r="V117" s="108"/>
      <c r="W117" s="79"/>
      <c r="X117" s="86"/>
    </row>
    <row r="118" spans="1:24" ht="25.5" x14ac:dyDescent="0.2">
      <c r="A118" s="710"/>
      <c r="B118" s="14" t="s">
        <v>303</v>
      </c>
      <c r="C118" s="7" t="s">
        <v>92</v>
      </c>
      <c r="D118" s="44" t="s">
        <v>291</v>
      </c>
      <c r="E118" s="3">
        <v>35</v>
      </c>
      <c r="F118" s="3">
        <v>0.17</v>
      </c>
      <c r="G118" s="34"/>
      <c r="H118" s="13">
        <v>0</v>
      </c>
      <c r="I118" s="29">
        <f t="shared" si="29"/>
        <v>0</v>
      </c>
      <c r="J118" s="30">
        <f t="shared" si="30"/>
        <v>0</v>
      </c>
      <c r="K118" s="93">
        <f t="shared" si="15"/>
        <v>6300</v>
      </c>
      <c r="L118" s="93">
        <f t="shared" si="16"/>
        <v>4620</v>
      </c>
      <c r="M118" s="93">
        <f t="shared" si="17"/>
        <v>4410</v>
      </c>
      <c r="N118" s="64">
        <v>4200</v>
      </c>
      <c r="O118" s="69">
        <v>3093.7</v>
      </c>
      <c r="P118" s="62">
        <f t="shared" si="28"/>
        <v>1106.3000000000002</v>
      </c>
      <c r="R118" s="105">
        <f t="shared" si="18"/>
        <v>6930</v>
      </c>
      <c r="S118" s="105">
        <f t="shared" si="19"/>
        <v>5082</v>
      </c>
      <c r="T118" s="105">
        <f t="shared" si="20"/>
        <v>4851</v>
      </c>
      <c r="U118" s="75">
        <f t="shared" si="21"/>
        <v>4620</v>
      </c>
      <c r="V118" s="108">
        <f>O118*1.1</f>
        <v>3403.07</v>
      </c>
      <c r="W118" s="79">
        <f t="shared" si="23"/>
        <v>1216.9299999999998</v>
      </c>
      <c r="X118" s="86">
        <v>777.2</v>
      </c>
    </row>
    <row r="119" spans="1:24" ht="12.75" x14ac:dyDescent="0.2">
      <c r="A119" s="713" t="s">
        <v>153</v>
      </c>
      <c r="B119" s="48" t="s">
        <v>180</v>
      </c>
      <c r="C119" s="49" t="s">
        <v>12</v>
      </c>
      <c r="D119" s="49"/>
      <c r="E119" s="27"/>
      <c r="F119" s="27">
        <v>9.5000000000000001E-2</v>
      </c>
      <c r="G119" s="27">
        <v>10</v>
      </c>
      <c r="H119" s="13">
        <v>0</v>
      </c>
      <c r="I119" s="27">
        <f t="shared" si="29"/>
        <v>0</v>
      </c>
      <c r="J119" s="28">
        <f t="shared" si="30"/>
        <v>0</v>
      </c>
      <c r="K119" s="93">
        <f t="shared" si="15"/>
        <v>3750</v>
      </c>
      <c r="L119" s="93">
        <f t="shared" si="16"/>
        <v>2750</v>
      </c>
      <c r="M119" s="93">
        <f t="shared" si="17"/>
        <v>2625</v>
      </c>
      <c r="N119" s="64">
        <v>2500</v>
      </c>
      <c r="O119" s="69"/>
      <c r="P119" s="62">
        <f t="shared" si="28"/>
        <v>2500</v>
      </c>
      <c r="R119" s="105">
        <f t="shared" si="18"/>
        <v>4125</v>
      </c>
      <c r="S119" s="105">
        <f t="shared" si="19"/>
        <v>3025.0000000000005</v>
      </c>
      <c r="T119" s="105">
        <f t="shared" si="20"/>
        <v>2887.5</v>
      </c>
      <c r="U119" s="75">
        <f t="shared" si="21"/>
        <v>2750</v>
      </c>
      <c r="V119" s="108"/>
      <c r="W119" s="79"/>
      <c r="X119" s="86"/>
    </row>
    <row r="120" spans="1:24" ht="12.75" x14ac:dyDescent="0.2">
      <c r="A120" s="713"/>
      <c r="B120" s="48" t="s">
        <v>181</v>
      </c>
      <c r="C120" s="49" t="s">
        <v>12</v>
      </c>
      <c r="D120" s="49"/>
      <c r="E120" s="27"/>
      <c r="F120" s="27">
        <v>9.5000000000000001E-2</v>
      </c>
      <c r="G120" s="27">
        <v>10</v>
      </c>
      <c r="H120" s="13">
        <v>0</v>
      </c>
      <c r="I120" s="27">
        <f t="shared" si="29"/>
        <v>0</v>
      </c>
      <c r="J120" s="28">
        <f t="shared" si="30"/>
        <v>0</v>
      </c>
      <c r="K120" s="93">
        <f t="shared" si="15"/>
        <v>3750</v>
      </c>
      <c r="L120" s="93">
        <f t="shared" si="16"/>
        <v>2750</v>
      </c>
      <c r="M120" s="93">
        <f t="shared" si="17"/>
        <v>2625</v>
      </c>
      <c r="N120" s="64">
        <v>2500</v>
      </c>
      <c r="O120" s="69"/>
      <c r="P120" s="62">
        <f t="shared" si="28"/>
        <v>2500</v>
      </c>
      <c r="R120" s="105">
        <f t="shared" si="18"/>
        <v>4125</v>
      </c>
      <c r="S120" s="105">
        <f t="shared" si="19"/>
        <v>3025.0000000000005</v>
      </c>
      <c r="T120" s="105">
        <f t="shared" si="20"/>
        <v>2887.5</v>
      </c>
      <c r="U120" s="75">
        <f t="shared" si="21"/>
        <v>2750</v>
      </c>
      <c r="V120" s="108"/>
      <c r="W120" s="79"/>
      <c r="X120" s="86"/>
    </row>
    <row r="121" spans="1:24" ht="12.75" x14ac:dyDescent="0.2">
      <c r="A121" s="713"/>
      <c r="B121" s="48" t="s">
        <v>431</v>
      </c>
      <c r="C121" s="52" t="s">
        <v>75</v>
      </c>
      <c r="D121" s="52"/>
      <c r="E121" s="27"/>
      <c r="F121" s="27">
        <v>0.23</v>
      </c>
      <c r="G121" s="27">
        <v>6</v>
      </c>
      <c r="H121" s="13">
        <v>0</v>
      </c>
      <c r="I121" s="27">
        <f t="shared" si="29"/>
        <v>0</v>
      </c>
      <c r="J121" s="28">
        <f t="shared" si="30"/>
        <v>0</v>
      </c>
      <c r="K121" s="93">
        <f t="shared" si="15"/>
        <v>9750</v>
      </c>
      <c r="L121" s="93">
        <f t="shared" si="16"/>
        <v>7150.0000000000009</v>
      </c>
      <c r="M121" s="93">
        <f t="shared" si="17"/>
        <v>6825</v>
      </c>
      <c r="N121" s="64">
        <v>6500</v>
      </c>
      <c r="O121" s="69"/>
      <c r="P121" s="62">
        <f t="shared" si="28"/>
        <v>6500</v>
      </c>
      <c r="R121" s="105">
        <f t="shared" si="18"/>
        <v>10725.000000000002</v>
      </c>
      <c r="S121" s="105">
        <f t="shared" si="19"/>
        <v>7865.0000000000018</v>
      </c>
      <c r="T121" s="105">
        <f t="shared" si="20"/>
        <v>7507.5000000000009</v>
      </c>
      <c r="U121" s="75">
        <f t="shared" si="21"/>
        <v>7150.0000000000009</v>
      </c>
      <c r="V121" s="108"/>
      <c r="W121" s="79"/>
      <c r="X121" s="86"/>
    </row>
    <row r="122" spans="1:24" ht="12.75" x14ac:dyDescent="0.2">
      <c r="A122" s="713"/>
      <c r="B122" s="48" t="s">
        <v>432</v>
      </c>
      <c r="C122" s="52" t="s">
        <v>75</v>
      </c>
      <c r="D122" s="52"/>
      <c r="E122" s="27"/>
      <c r="F122" s="27">
        <v>0.23</v>
      </c>
      <c r="G122" s="27">
        <v>6</v>
      </c>
      <c r="H122" s="13">
        <v>0</v>
      </c>
      <c r="I122" s="27">
        <f t="shared" si="29"/>
        <v>0</v>
      </c>
      <c r="J122" s="28">
        <f t="shared" si="30"/>
        <v>0</v>
      </c>
      <c r="K122" s="93">
        <f t="shared" si="15"/>
        <v>9750</v>
      </c>
      <c r="L122" s="93">
        <f t="shared" si="16"/>
        <v>7150.0000000000009</v>
      </c>
      <c r="M122" s="93">
        <f t="shared" si="17"/>
        <v>6825</v>
      </c>
      <c r="N122" s="64">
        <v>6500</v>
      </c>
      <c r="O122" s="69"/>
      <c r="P122" s="62">
        <f t="shared" si="28"/>
        <v>6500</v>
      </c>
      <c r="R122" s="105">
        <f t="shared" si="18"/>
        <v>10725.000000000002</v>
      </c>
      <c r="S122" s="105">
        <f t="shared" si="19"/>
        <v>7865.0000000000018</v>
      </c>
      <c r="T122" s="105">
        <f t="shared" si="20"/>
        <v>7507.5000000000009</v>
      </c>
      <c r="U122" s="75">
        <f t="shared" si="21"/>
        <v>7150.0000000000009</v>
      </c>
      <c r="V122" s="108"/>
      <c r="W122" s="79"/>
      <c r="X122" s="86"/>
    </row>
    <row r="123" spans="1:24" ht="25.5" x14ac:dyDescent="0.2">
      <c r="A123" s="713"/>
      <c r="B123" s="48" t="s">
        <v>34</v>
      </c>
      <c r="C123" s="52" t="s">
        <v>90</v>
      </c>
      <c r="D123" s="44" t="s">
        <v>291</v>
      </c>
      <c r="E123" s="27"/>
      <c r="F123" s="27">
        <v>0.17</v>
      </c>
      <c r="G123" s="27"/>
      <c r="H123" s="13">
        <v>0</v>
      </c>
      <c r="I123" s="27">
        <f t="shared" si="29"/>
        <v>0</v>
      </c>
      <c r="J123" s="28">
        <f t="shared" si="30"/>
        <v>0</v>
      </c>
      <c r="K123" s="93">
        <f t="shared" si="15"/>
        <v>12750</v>
      </c>
      <c r="L123" s="93">
        <f t="shared" si="16"/>
        <v>9350</v>
      </c>
      <c r="M123" s="93">
        <f t="shared" si="17"/>
        <v>8925</v>
      </c>
      <c r="N123" s="64">
        <v>8500</v>
      </c>
      <c r="O123" s="69">
        <v>7394</v>
      </c>
      <c r="P123" s="62">
        <f t="shared" si="28"/>
        <v>1106</v>
      </c>
      <c r="R123" s="105">
        <f t="shared" si="18"/>
        <v>14025</v>
      </c>
      <c r="S123" s="105">
        <f t="shared" si="19"/>
        <v>10285</v>
      </c>
      <c r="T123" s="105">
        <f t="shared" si="20"/>
        <v>9817.5</v>
      </c>
      <c r="U123" s="75">
        <f t="shared" si="21"/>
        <v>9350</v>
      </c>
      <c r="V123" s="108">
        <f>O123*1.1</f>
        <v>8133.4000000000005</v>
      </c>
      <c r="W123" s="79">
        <f t="shared" si="23"/>
        <v>1216.5999999999995</v>
      </c>
      <c r="X123" s="86">
        <v>777.2</v>
      </c>
    </row>
    <row r="124" spans="1:24" ht="25.5" x14ac:dyDescent="0.2">
      <c r="A124" s="713"/>
      <c r="B124" s="48" t="s">
        <v>35</v>
      </c>
      <c r="C124" s="52" t="s">
        <v>90</v>
      </c>
      <c r="D124" s="44" t="s">
        <v>291</v>
      </c>
      <c r="E124" s="27"/>
      <c r="F124" s="27">
        <v>0.17</v>
      </c>
      <c r="G124" s="27"/>
      <c r="H124" s="13">
        <v>0</v>
      </c>
      <c r="I124" s="27">
        <f t="shared" si="29"/>
        <v>0</v>
      </c>
      <c r="J124" s="28">
        <f t="shared" si="30"/>
        <v>0</v>
      </c>
      <c r="K124" s="93">
        <f t="shared" si="15"/>
        <v>12750</v>
      </c>
      <c r="L124" s="93">
        <f t="shared" si="16"/>
        <v>9350</v>
      </c>
      <c r="M124" s="93">
        <f t="shared" si="17"/>
        <v>8925</v>
      </c>
      <c r="N124" s="64">
        <v>8500</v>
      </c>
      <c r="O124" s="69">
        <v>7394</v>
      </c>
      <c r="P124" s="62">
        <f t="shared" si="28"/>
        <v>1106</v>
      </c>
      <c r="R124" s="105">
        <f t="shared" si="18"/>
        <v>14025</v>
      </c>
      <c r="S124" s="105">
        <f t="shared" si="19"/>
        <v>10285</v>
      </c>
      <c r="T124" s="105">
        <f t="shared" si="20"/>
        <v>9817.5</v>
      </c>
      <c r="U124" s="75">
        <f t="shared" si="21"/>
        <v>9350</v>
      </c>
      <c r="V124" s="108">
        <f>O124*1.1</f>
        <v>8133.4000000000005</v>
      </c>
      <c r="W124" s="79">
        <f t="shared" si="23"/>
        <v>1216.5999999999995</v>
      </c>
      <c r="X124" s="86">
        <v>777.2</v>
      </c>
    </row>
    <row r="125" spans="1:24" ht="12.75" x14ac:dyDescent="0.2">
      <c r="A125" s="710" t="s">
        <v>154</v>
      </c>
      <c r="B125" s="14" t="s">
        <v>420</v>
      </c>
      <c r="C125" s="7" t="s">
        <v>62</v>
      </c>
      <c r="D125" s="7"/>
      <c r="E125" s="31">
        <v>16.5</v>
      </c>
      <c r="F125" s="3">
        <v>0.1</v>
      </c>
      <c r="G125" s="3">
        <v>10</v>
      </c>
      <c r="H125" s="13">
        <v>0</v>
      </c>
      <c r="I125" s="29">
        <f t="shared" si="29"/>
        <v>0</v>
      </c>
      <c r="J125" s="30">
        <f t="shared" si="30"/>
        <v>0</v>
      </c>
      <c r="K125" s="93">
        <f t="shared" si="15"/>
        <v>2400</v>
      </c>
      <c r="L125" s="93">
        <f t="shared" si="16"/>
        <v>1760.0000000000002</v>
      </c>
      <c r="M125" s="93">
        <f t="shared" si="17"/>
        <v>1680</v>
      </c>
      <c r="N125" s="64">
        <v>1600</v>
      </c>
      <c r="O125" s="69"/>
      <c r="P125" s="62">
        <f t="shared" si="28"/>
        <v>1600</v>
      </c>
      <c r="R125" s="105">
        <f t="shared" si="18"/>
        <v>2640.0000000000005</v>
      </c>
      <c r="S125" s="105">
        <f t="shared" si="19"/>
        <v>1936.0000000000005</v>
      </c>
      <c r="T125" s="105">
        <f t="shared" si="20"/>
        <v>1848.0000000000002</v>
      </c>
      <c r="U125" s="75">
        <f t="shared" si="21"/>
        <v>1760.0000000000002</v>
      </c>
      <c r="V125" s="108"/>
      <c r="W125" s="79"/>
      <c r="X125" s="86"/>
    </row>
    <row r="126" spans="1:24" ht="12.75" x14ac:dyDescent="0.2">
      <c r="A126" s="710"/>
      <c r="B126" s="14" t="s">
        <v>421</v>
      </c>
      <c r="C126" s="7" t="s">
        <v>62</v>
      </c>
      <c r="D126" s="7"/>
      <c r="E126" s="31">
        <v>16.5</v>
      </c>
      <c r="F126" s="3">
        <v>0.1</v>
      </c>
      <c r="G126" s="3">
        <v>10</v>
      </c>
      <c r="H126" s="13">
        <v>0</v>
      </c>
      <c r="I126" s="29">
        <f t="shared" si="29"/>
        <v>0</v>
      </c>
      <c r="J126" s="30">
        <f t="shared" si="30"/>
        <v>0</v>
      </c>
      <c r="K126" s="93">
        <f t="shared" si="15"/>
        <v>2400</v>
      </c>
      <c r="L126" s="93">
        <f t="shared" si="16"/>
        <v>1760.0000000000002</v>
      </c>
      <c r="M126" s="93">
        <f t="shared" si="17"/>
        <v>1680</v>
      </c>
      <c r="N126" s="64">
        <v>1600</v>
      </c>
      <c r="O126" s="69"/>
      <c r="P126" s="62">
        <f t="shared" si="28"/>
        <v>1600</v>
      </c>
      <c r="R126" s="105">
        <f t="shared" si="18"/>
        <v>2640.0000000000005</v>
      </c>
      <c r="S126" s="105">
        <f t="shared" si="19"/>
        <v>1936.0000000000005</v>
      </c>
      <c r="T126" s="105">
        <f t="shared" si="20"/>
        <v>1848.0000000000002</v>
      </c>
      <c r="U126" s="75">
        <f t="shared" si="21"/>
        <v>1760.0000000000002</v>
      </c>
      <c r="V126" s="108"/>
      <c r="W126" s="79"/>
      <c r="X126" s="86"/>
    </row>
    <row r="127" spans="1:24" s="26" customFormat="1" ht="12.75" x14ac:dyDescent="0.2">
      <c r="A127" s="710"/>
      <c r="B127" s="14" t="s">
        <v>422</v>
      </c>
      <c r="C127" s="7" t="s">
        <v>62</v>
      </c>
      <c r="D127" s="7"/>
      <c r="E127" s="31">
        <v>16.5</v>
      </c>
      <c r="F127" s="3">
        <v>0.1</v>
      </c>
      <c r="G127" s="3">
        <v>10</v>
      </c>
      <c r="H127" s="13">
        <v>0</v>
      </c>
      <c r="I127" s="29">
        <f t="shared" si="29"/>
        <v>0</v>
      </c>
      <c r="J127" s="30">
        <f t="shared" si="30"/>
        <v>0</v>
      </c>
      <c r="K127" s="93">
        <f t="shared" si="15"/>
        <v>2400</v>
      </c>
      <c r="L127" s="93">
        <f t="shared" si="16"/>
        <v>1760.0000000000002</v>
      </c>
      <c r="M127" s="93">
        <f t="shared" si="17"/>
        <v>1680</v>
      </c>
      <c r="N127" s="64">
        <v>1600</v>
      </c>
      <c r="O127" s="69"/>
      <c r="P127" s="62">
        <f t="shared" si="28"/>
        <v>1600</v>
      </c>
      <c r="Q127" s="99"/>
      <c r="R127" s="105">
        <f t="shared" si="18"/>
        <v>2640.0000000000005</v>
      </c>
      <c r="S127" s="105">
        <f t="shared" si="19"/>
        <v>1936.0000000000005</v>
      </c>
      <c r="T127" s="105">
        <f t="shared" si="20"/>
        <v>1848.0000000000002</v>
      </c>
      <c r="U127" s="75">
        <f t="shared" si="21"/>
        <v>1760.0000000000002</v>
      </c>
      <c r="V127" s="108"/>
      <c r="W127" s="79"/>
      <c r="X127" s="86"/>
    </row>
    <row r="128" spans="1:24" s="26" customFormat="1" ht="12.75" x14ac:dyDescent="0.2">
      <c r="A128" s="710"/>
      <c r="B128" s="14" t="s">
        <v>423</v>
      </c>
      <c r="C128" s="7" t="s">
        <v>62</v>
      </c>
      <c r="D128" s="7"/>
      <c r="E128" s="31">
        <v>16.5</v>
      </c>
      <c r="F128" s="3">
        <v>0.1</v>
      </c>
      <c r="G128" s="3">
        <v>10</v>
      </c>
      <c r="H128" s="13">
        <v>0</v>
      </c>
      <c r="I128" s="29">
        <f t="shared" si="29"/>
        <v>0</v>
      </c>
      <c r="J128" s="30">
        <f t="shared" si="30"/>
        <v>0</v>
      </c>
      <c r="K128" s="93">
        <f t="shared" si="15"/>
        <v>2400</v>
      </c>
      <c r="L128" s="93">
        <f t="shared" si="16"/>
        <v>1760.0000000000002</v>
      </c>
      <c r="M128" s="93">
        <f t="shared" si="17"/>
        <v>1680</v>
      </c>
      <c r="N128" s="64">
        <v>1600</v>
      </c>
      <c r="O128" s="69"/>
      <c r="P128" s="62">
        <f t="shared" si="28"/>
        <v>1600</v>
      </c>
      <c r="Q128" s="99"/>
      <c r="R128" s="105">
        <f t="shared" si="18"/>
        <v>2640.0000000000005</v>
      </c>
      <c r="S128" s="105">
        <f t="shared" si="19"/>
        <v>1936.0000000000005</v>
      </c>
      <c r="T128" s="105">
        <f t="shared" si="20"/>
        <v>1848.0000000000002</v>
      </c>
      <c r="U128" s="75">
        <f t="shared" si="21"/>
        <v>1760.0000000000002</v>
      </c>
      <c r="V128" s="108"/>
      <c r="W128" s="79"/>
      <c r="X128" s="86"/>
    </row>
    <row r="129" spans="1:24" s="26" customFormat="1" ht="12.75" x14ac:dyDescent="0.2">
      <c r="A129" s="710"/>
      <c r="B129" s="14" t="s">
        <v>424</v>
      </c>
      <c r="C129" s="7" t="s">
        <v>62</v>
      </c>
      <c r="D129" s="7"/>
      <c r="E129" s="31">
        <v>16.5</v>
      </c>
      <c r="F129" s="3">
        <v>0.1</v>
      </c>
      <c r="G129" s="3">
        <v>10</v>
      </c>
      <c r="H129" s="13">
        <v>0</v>
      </c>
      <c r="I129" s="29">
        <f t="shared" si="29"/>
        <v>0</v>
      </c>
      <c r="J129" s="30">
        <f t="shared" si="30"/>
        <v>0</v>
      </c>
      <c r="K129" s="93">
        <f t="shared" si="15"/>
        <v>2400</v>
      </c>
      <c r="L129" s="93">
        <f t="shared" si="16"/>
        <v>1760.0000000000002</v>
      </c>
      <c r="M129" s="93">
        <f t="shared" si="17"/>
        <v>1680</v>
      </c>
      <c r="N129" s="64">
        <v>1600</v>
      </c>
      <c r="O129" s="69"/>
      <c r="P129" s="62">
        <f t="shared" si="28"/>
        <v>1600</v>
      </c>
      <c r="Q129" s="99"/>
      <c r="R129" s="105">
        <f t="shared" si="18"/>
        <v>2640.0000000000005</v>
      </c>
      <c r="S129" s="105">
        <f t="shared" si="19"/>
        <v>1936.0000000000005</v>
      </c>
      <c r="T129" s="105">
        <f t="shared" si="20"/>
        <v>1848.0000000000002</v>
      </c>
      <c r="U129" s="75">
        <f t="shared" si="21"/>
        <v>1760.0000000000002</v>
      </c>
      <c r="V129" s="108"/>
      <c r="W129" s="79"/>
      <c r="X129" s="86"/>
    </row>
    <row r="130" spans="1:24" s="26" customFormat="1" ht="25.5" x14ac:dyDescent="0.2">
      <c r="A130" s="710"/>
      <c r="B130" s="14" t="s">
        <v>316</v>
      </c>
      <c r="C130" s="7" t="s">
        <v>104</v>
      </c>
      <c r="D130" s="44" t="s">
        <v>285</v>
      </c>
      <c r="E130" s="5">
        <v>14.2</v>
      </c>
      <c r="F130" s="3">
        <v>0.12</v>
      </c>
      <c r="G130" s="3"/>
      <c r="H130" s="13">
        <v>0</v>
      </c>
      <c r="I130" s="29">
        <f t="shared" si="29"/>
        <v>0</v>
      </c>
      <c r="J130" s="30">
        <f t="shared" si="30"/>
        <v>0</v>
      </c>
      <c r="K130" s="93">
        <f t="shared" si="15"/>
        <v>4200</v>
      </c>
      <c r="L130" s="93">
        <f t="shared" si="16"/>
        <v>3080.0000000000005</v>
      </c>
      <c r="M130" s="93">
        <f t="shared" si="17"/>
        <v>2940</v>
      </c>
      <c r="N130" s="64">
        <v>2800</v>
      </c>
      <c r="O130" s="69">
        <v>1691</v>
      </c>
      <c r="P130" s="62">
        <f t="shared" si="28"/>
        <v>1109</v>
      </c>
      <c r="Q130" s="99"/>
      <c r="R130" s="105">
        <f t="shared" si="18"/>
        <v>4620.0000000000009</v>
      </c>
      <c r="S130" s="105">
        <f t="shared" si="19"/>
        <v>3388.0000000000009</v>
      </c>
      <c r="T130" s="105">
        <f t="shared" si="20"/>
        <v>3234.0000000000005</v>
      </c>
      <c r="U130" s="75">
        <f t="shared" si="21"/>
        <v>3080.0000000000005</v>
      </c>
      <c r="V130" s="108">
        <f>O130*1.1</f>
        <v>1860.1000000000001</v>
      </c>
      <c r="W130" s="79">
        <f t="shared" si="23"/>
        <v>1219.9000000000003</v>
      </c>
      <c r="X130" s="86">
        <v>780</v>
      </c>
    </row>
    <row r="131" spans="1:24" ht="25.5" x14ac:dyDescent="0.2">
      <c r="A131" s="710"/>
      <c r="B131" s="14" t="s">
        <v>250</v>
      </c>
      <c r="C131" s="7" t="s">
        <v>104</v>
      </c>
      <c r="D131" s="44" t="s">
        <v>285</v>
      </c>
      <c r="E131" s="5">
        <v>14.2</v>
      </c>
      <c r="F131" s="3">
        <v>0.12</v>
      </c>
      <c r="G131" s="3"/>
      <c r="H131" s="13">
        <v>0</v>
      </c>
      <c r="I131" s="29">
        <f t="shared" si="29"/>
        <v>0</v>
      </c>
      <c r="J131" s="30">
        <f t="shared" si="30"/>
        <v>0</v>
      </c>
      <c r="K131" s="93">
        <f t="shared" si="15"/>
        <v>4200</v>
      </c>
      <c r="L131" s="93">
        <f t="shared" si="16"/>
        <v>3080.0000000000005</v>
      </c>
      <c r="M131" s="93">
        <f t="shared" si="17"/>
        <v>2940</v>
      </c>
      <c r="N131" s="64">
        <v>2800</v>
      </c>
      <c r="O131" s="69">
        <v>1691</v>
      </c>
      <c r="P131" s="62">
        <f t="shared" si="28"/>
        <v>1109</v>
      </c>
      <c r="R131" s="105">
        <f t="shared" si="18"/>
        <v>4620.0000000000009</v>
      </c>
      <c r="S131" s="105">
        <f t="shared" si="19"/>
        <v>3388.0000000000009</v>
      </c>
      <c r="T131" s="105">
        <f t="shared" si="20"/>
        <v>3234.0000000000005</v>
      </c>
      <c r="U131" s="75">
        <f t="shared" si="21"/>
        <v>3080.0000000000005</v>
      </c>
      <c r="V131" s="108">
        <f>O131*1.1</f>
        <v>1860.1000000000001</v>
      </c>
      <c r="W131" s="79">
        <f t="shared" si="23"/>
        <v>1219.9000000000003</v>
      </c>
      <c r="X131" s="86">
        <v>780</v>
      </c>
    </row>
    <row r="132" spans="1:24" ht="25.5" x14ac:dyDescent="0.2">
      <c r="A132" s="710"/>
      <c r="B132" s="14" t="s">
        <v>251</v>
      </c>
      <c r="C132" s="7" t="s">
        <v>104</v>
      </c>
      <c r="D132" s="44" t="s">
        <v>285</v>
      </c>
      <c r="E132" s="5">
        <v>14.2</v>
      </c>
      <c r="F132" s="3">
        <v>0.12</v>
      </c>
      <c r="G132" s="3"/>
      <c r="H132" s="13">
        <v>0</v>
      </c>
      <c r="I132" s="29">
        <f t="shared" si="29"/>
        <v>0</v>
      </c>
      <c r="J132" s="30">
        <f t="shared" si="30"/>
        <v>0</v>
      </c>
      <c r="K132" s="93">
        <f t="shared" ref="K132:K195" si="31">N132*1.5</f>
        <v>4200</v>
      </c>
      <c r="L132" s="93">
        <f t="shared" ref="L132:L195" si="32">N132*1.1</f>
        <v>3080.0000000000005</v>
      </c>
      <c r="M132" s="93">
        <f t="shared" ref="M132:M195" si="33">N132*1.05</f>
        <v>2940</v>
      </c>
      <c r="N132" s="64">
        <v>2800</v>
      </c>
      <c r="O132" s="69">
        <v>1691</v>
      </c>
      <c r="P132" s="62">
        <f t="shared" si="28"/>
        <v>1109</v>
      </c>
      <c r="R132" s="105">
        <f t="shared" ref="R132:R195" si="34">U132*1.5</f>
        <v>4620.0000000000009</v>
      </c>
      <c r="S132" s="105">
        <f t="shared" ref="S132:S195" si="35">U132*1.1</f>
        <v>3388.0000000000009</v>
      </c>
      <c r="T132" s="105">
        <f t="shared" ref="T132:T195" si="36">U132*1.05</f>
        <v>3234.0000000000005</v>
      </c>
      <c r="U132" s="75">
        <f t="shared" ref="U132:U195" si="37">N132*1.1</f>
        <v>3080.0000000000005</v>
      </c>
      <c r="V132" s="108">
        <f>O132*1.1</f>
        <v>1860.1000000000001</v>
      </c>
      <c r="W132" s="79">
        <f t="shared" si="23"/>
        <v>1219.9000000000003</v>
      </c>
      <c r="X132" s="86">
        <v>780</v>
      </c>
    </row>
    <row r="133" spans="1:24" ht="25.5" x14ac:dyDescent="0.2">
      <c r="A133" s="710"/>
      <c r="B133" s="14" t="s">
        <v>252</v>
      </c>
      <c r="C133" s="7" t="s">
        <v>104</v>
      </c>
      <c r="D133" s="44" t="s">
        <v>285</v>
      </c>
      <c r="E133" s="5">
        <v>14.2</v>
      </c>
      <c r="F133" s="3">
        <v>0.12</v>
      </c>
      <c r="G133" s="3"/>
      <c r="H133" s="13">
        <v>0</v>
      </c>
      <c r="I133" s="29">
        <f t="shared" si="29"/>
        <v>0</v>
      </c>
      <c r="J133" s="30">
        <f t="shared" si="30"/>
        <v>0</v>
      </c>
      <c r="K133" s="93">
        <f t="shared" si="31"/>
        <v>4200</v>
      </c>
      <c r="L133" s="93">
        <f t="shared" si="32"/>
        <v>3080.0000000000005</v>
      </c>
      <c r="M133" s="93">
        <f t="shared" si="33"/>
        <v>2940</v>
      </c>
      <c r="N133" s="64">
        <v>2800</v>
      </c>
      <c r="O133" s="69">
        <v>1691</v>
      </c>
      <c r="P133" s="62">
        <f t="shared" si="28"/>
        <v>1109</v>
      </c>
      <c r="R133" s="105">
        <f t="shared" si="34"/>
        <v>4620.0000000000009</v>
      </c>
      <c r="S133" s="105">
        <f t="shared" si="35"/>
        <v>3388.0000000000009</v>
      </c>
      <c r="T133" s="105">
        <f t="shared" si="36"/>
        <v>3234.0000000000005</v>
      </c>
      <c r="U133" s="75">
        <f t="shared" si="37"/>
        <v>3080.0000000000005</v>
      </c>
      <c r="V133" s="108">
        <f>O133*1.1</f>
        <v>1860.1000000000001</v>
      </c>
      <c r="W133" s="79">
        <f t="shared" si="23"/>
        <v>1219.9000000000003</v>
      </c>
      <c r="X133" s="86">
        <v>780</v>
      </c>
    </row>
    <row r="134" spans="1:24" ht="25.5" x14ac:dyDescent="0.2">
      <c r="A134" s="710"/>
      <c r="B134" s="14" t="s">
        <v>326</v>
      </c>
      <c r="C134" s="7" t="s">
        <v>104</v>
      </c>
      <c r="D134" s="44" t="s">
        <v>285</v>
      </c>
      <c r="E134" s="5">
        <v>14.2</v>
      </c>
      <c r="F134" s="3">
        <v>0.12</v>
      </c>
      <c r="G134" s="3"/>
      <c r="H134" s="13">
        <v>0</v>
      </c>
      <c r="I134" s="29">
        <f t="shared" si="29"/>
        <v>0</v>
      </c>
      <c r="J134" s="30">
        <f t="shared" si="30"/>
        <v>0</v>
      </c>
      <c r="K134" s="93">
        <f t="shared" si="31"/>
        <v>4200</v>
      </c>
      <c r="L134" s="93">
        <f t="shared" si="32"/>
        <v>3080.0000000000005</v>
      </c>
      <c r="M134" s="93">
        <f t="shared" si="33"/>
        <v>2940</v>
      </c>
      <c r="N134" s="64">
        <v>2800</v>
      </c>
      <c r="O134" s="69">
        <v>1691</v>
      </c>
      <c r="P134" s="62">
        <f t="shared" si="28"/>
        <v>1109</v>
      </c>
      <c r="R134" s="105">
        <f t="shared" si="34"/>
        <v>4620.0000000000009</v>
      </c>
      <c r="S134" s="105">
        <f t="shared" si="35"/>
        <v>3388.0000000000009</v>
      </c>
      <c r="T134" s="105">
        <f t="shared" si="36"/>
        <v>3234.0000000000005</v>
      </c>
      <c r="U134" s="75">
        <f t="shared" si="37"/>
        <v>3080.0000000000005</v>
      </c>
      <c r="V134" s="108">
        <f>O134*1.1</f>
        <v>1860.1000000000001</v>
      </c>
      <c r="W134" s="79">
        <f t="shared" si="23"/>
        <v>1219.9000000000003</v>
      </c>
      <c r="X134" s="86">
        <v>780</v>
      </c>
    </row>
    <row r="135" spans="1:24" ht="12.75" x14ac:dyDescent="0.2">
      <c r="A135" s="710" t="s">
        <v>155</v>
      </c>
      <c r="B135" s="14" t="s">
        <v>29</v>
      </c>
      <c r="C135" s="7" t="s">
        <v>63</v>
      </c>
      <c r="D135" s="7"/>
      <c r="E135" s="5">
        <v>9</v>
      </c>
      <c r="F135" s="3">
        <v>6.7000000000000004E-2</v>
      </c>
      <c r="G135" s="3">
        <v>10</v>
      </c>
      <c r="H135" s="13">
        <v>0</v>
      </c>
      <c r="I135" s="29">
        <f t="shared" si="29"/>
        <v>0</v>
      </c>
      <c r="J135" s="30">
        <f t="shared" si="30"/>
        <v>0</v>
      </c>
      <c r="K135" s="93">
        <f t="shared" si="31"/>
        <v>2047.5</v>
      </c>
      <c r="L135" s="93">
        <f t="shared" si="32"/>
        <v>1501.5000000000002</v>
      </c>
      <c r="M135" s="93">
        <f t="shared" si="33"/>
        <v>1433.25</v>
      </c>
      <c r="N135" s="64">
        <v>1365</v>
      </c>
      <c r="O135" s="69"/>
      <c r="P135" s="62">
        <f t="shared" si="28"/>
        <v>1365</v>
      </c>
      <c r="R135" s="105">
        <f t="shared" si="34"/>
        <v>2252.2500000000005</v>
      </c>
      <c r="S135" s="105">
        <f t="shared" si="35"/>
        <v>1651.6500000000003</v>
      </c>
      <c r="T135" s="105">
        <f t="shared" si="36"/>
        <v>1576.5750000000003</v>
      </c>
      <c r="U135" s="75">
        <f t="shared" si="37"/>
        <v>1501.5000000000002</v>
      </c>
      <c r="V135" s="108"/>
      <c r="W135" s="79"/>
      <c r="X135" s="86"/>
    </row>
    <row r="136" spans="1:24" ht="12.75" x14ac:dyDescent="0.2">
      <c r="A136" s="710"/>
      <c r="B136" s="14" t="s">
        <v>30</v>
      </c>
      <c r="C136" s="7" t="s">
        <v>64</v>
      </c>
      <c r="D136" s="7"/>
      <c r="E136" s="5">
        <v>10</v>
      </c>
      <c r="F136" s="3">
        <v>7.0000000000000007E-2</v>
      </c>
      <c r="G136" s="3">
        <v>10</v>
      </c>
      <c r="H136" s="13">
        <v>0</v>
      </c>
      <c r="I136" s="29">
        <f t="shared" si="29"/>
        <v>0</v>
      </c>
      <c r="J136" s="30">
        <f t="shared" si="30"/>
        <v>0</v>
      </c>
      <c r="K136" s="93">
        <f t="shared" si="31"/>
        <v>2205</v>
      </c>
      <c r="L136" s="93">
        <f t="shared" si="32"/>
        <v>1617.0000000000002</v>
      </c>
      <c r="M136" s="93">
        <f t="shared" si="33"/>
        <v>1543.5</v>
      </c>
      <c r="N136" s="64">
        <v>1470</v>
      </c>
      <c r="O136" s="69"/>
      <c r="P136" s="62">
        <f t="shared" si="28"/>
        <v>1470</v>
      </c>
      <c r="R136" s="105">
        <f t="shared" si="34"/>
        <v>2425.5000000000005</v>
      </c>
      <c r="S136" s="105">
        <f t="shared" si="35"/>
        <v>1778.7000000000005</v>
      </c>
      <c r="T136" s="105">
        <f t="shared" si="36"/>
        <v>1697.8500000000004</v>
      </c>
      <c r="U136" s="75">
        <f t="shared" si="37"/>
        <v>1617.0000000000002</v>
      </c>
      <c r="V136" s="108"/>
      <c r="W136" s="79"/>
      <c r="X136" s="86"/>
    </row>
    <row r="137" spans="1:24" ht="12.75" x14ac:dyDescent="0.2">
      <c r="A137" s="710"/>
      <c r="B137" s="14" t="s">
        <v>384</v>
      </c>
      <c r="C137" s="7" t="s">
        <v>77</v>
      </c>
      <c r="D137" s="7"/>
      <c r="E137" s="5">
        <v>32</v>
      </c>
      <c r="F137" s="3">
        <v>0.2</v>
      </c>
      <c r="G137" s="3">
        <v>6</v>
      </c>
      <c r="H137" s="13">
        <v>0</v>
      </c>
      <c r="I137" s="29">
        <f t="shared" si="29"/>
        <v>0</v>
      </c>
      <c r="J137" s="30">
        <f t="shared" si="30"/>
        <v>0</v>
      </c>
      <c r="K137" s="93">
        <f t="shared" si="31"/>
        <v>6840</v>
      </c>
      <c r="L137" s="93">
        <f t="shared" si="32"/>
        <v>5016</v>
      </c>
      <c r="M137" s="93">
        <f t="shared" si="33"/>
        <v>4788</v>
      </c>
      <c r="N137" s="64">
        <v>4560</v>
      </c>
      <c r="O137" s="69"/>
      <c r="P137" s="62">
        <f t="shared" si="28"/>
        <v>4560</v>
      </c>
      <c r="R137" s="105">
        <f t="shared" si="34"/>
        <v>7524</v>
      </c>
      <c r="S137" s="105">
        <f t="shared" si="35"/>
        <v>5517.6</v>
      </c>
      <c r="T137" s="105">
        <f t="shared" si="36"/>
        <v>5266.8</v>
      </c>
      <c r="U137" s="75">
        <f t="shared" si="37"/>
        <v>5016</v>
      </c>
      <c r="V137" s="108"/>
      <c r="W137" s="79"/>
      <c r="X137" s="86"/>
    </row>
    <row r="138" spans="1:24" ht="25.5" x14ac:dyDescent="0.2">
      <c r="A138" s="710"/>
      <c r="B138" s="14" t="s">
        <v>317</v>
      </c>
      <c r="C138" s="7" t="s">
        <v>104</v>
      </c>
      <c r="D138" s="44" t="s">
        <v>285</v>
      </c>
      <c r="E138" s="3">
        <v>14</v>
      </c>
      <c r="F138" s="3">
        <v>0.12</v>
      </c>
      <c r="G138" s="34"/>
      <c r="H138" s="13">
        <v>0</v>
      </c>
      <c r="I138" s="29">
        <f t="shared" si="29"/>
        <v>0</v>
      </c>
      <c r="J138" s="30">
        <f t="shared" si="30"/>
        <v>0</v>
      </c>
      <c r="K138" s="93">
        <f t="shared" si="31"/>
        <v>5670</v>
      </c>
      <c r="L138" s="93">
        <f t="shared" si="32"/>
        <v>4158</v>
      </c>
      <c r="M138" s="93">
        <f t="shared" si="33"/>
        <v>3969</v>
      </c>
      <c r="N138" s="64">
        <v>3780</v>
      </c>
      <c r="O138" s="69">
        <v>2671.4</v>
      </c>
      <c r="P138" s="62">
        <f t="shared" si="28"/>
        <v>1108.5999999999999</v>
      </c>
      <c r="R138" s="105">
        <f t="shared" si="34"/>
        <v>6237</v>
      </c>
      <c r="S138" s="105">
        <f t="shared" si="35"/>
        <v>4573.8</v>
      </c>
      <c r="T138" s="105">
        <f t="shared" si="36"/>
        <v>4365.9000000000005</v>
      </c>
      <c r="U138" s="75">
        <f t="shared" si="37"/>
        <v>4158</v>
      </c>
      <c r="V138" s="108">
        <f>O138*1.1</f>
        <v>2938.5400000000004</v>
      </c>
      <c r="W138" s="79">
        <f>U138-V138</f>
        <v>1219.4599999999996</v>
      </c>
      <c r="X138" s="86">
        <v>780</v>
      </c>
    </row>
    <row r="139" spans="1:24" ht="25.5" x14ac:dyDescent="0.2">
      <c r="A139" s="710"/>
      <c r="B139" s="14" t="s">
        <v>318</v>
      </c>
      <c r="C139" s="7" t="s">
        <v>365</v>
      </c>
      <c r="D139" s="44" t="s">
        <v>286</v>
      </c>
      <c r="E139" s="3">
        <v>16.5</v>
      </c>
      <c r="F139" s="3">
        <v>0.17</v>
      </c>
      <c r="G139" s="34"/>
      <c r="H139" s="13">
        <v>0</v>
      </c>
      <c r="I139" s="29">
        <f t="shared" si="29"/>
        <v>0</v>
      </c>
      <c r="J139" s="30">
        <f t="shared" si="30"/>
        <v>0</v>
      </c>
      <c r="K139" s="93">
        <f t="shared" si="31"/>
        <v>6000</v>
      </c>
      <c r="L139" s="93">
        <f t="shared" si="32"/>
        <v>4400</v>
      </c>
      <c r="M139" s="93">
        <f t="shared" si="33"/>
        <v>4200</v>
      </c>
      <c r="N139" s="64">
        <v>4000</v>
      </c>
      <c r="O139" s="69">
        <v>2846.55</v>
      </c>
      <c r="P139" s="62">
        <f t="shared" si="28"/>
        <v>1153.4499999999998</v>
      </c>
      <c r="R139" s="105">
        <f t="shared" si="34"/>
        <v>6600</v>
      </c>
      <c r="S139" s="105">
        <f t="shared" si="35"/>
        <v>4840</v>
      </c>
      <c r="T139" s="105">
        <f t="shared" si="36"/>
        <v>4620</v>
      </c>
      <c r="U139" s="75">
        <f t="shared" si="37"/>
        <v>4400</v>
      </c>
      <c r="V139" s="108">
        <f>O139*1.1</f>
        <v>3131.2050000000004</v>
      </c>
      <c r="W139" s="79">
        <f>U139-V139</f>
        <v>1268.7949999999996</v>
      </c>
      <c r="X139" s="86"/>
    </row>
    <row r="140" spans="1:24" ht="12.75" x14ac:dyDescent="0.2">
      <c r="A140" s="710" t="s">
        <v>156</v>
      </c>
      <c r="B140" s="14" t="s">
        <v>31</v>
      </c>
      <c r="C140" s="7" t="s">
        <v>65</v>
      </c>
      <c r="D140" s="7"/>
      <c r="E140" s="5">
        <v>8</v>
      </c>
      <c r="F140" s="3">
        <v>9.5000000000000001E-2</v>
      </c>
      <c r="G140" s="3">
        <v>10</v>
      </c>
      <c r="H140" s="13">
        <v>0</v>
      </c>
      <c r="I140" s="29">
        <f t="shared" si="29"/>
        <v>0</v>
      </c>
      <c r="J140" s="30">
        <f t="shared" si="30"/>
        <v>0</v>
      </c>
      <c r="K140" s="93">
        <f t="shared" si="31"/>
        <v>982.5</v>
      </c>
      <c r="L140" s="93">
        <f t="shared" si="32"/>
        <v>720.50000000000011</v>
      </c>
      <c r="M140" s="93">
        <f t="shared" si="33"/>
        <v>687.75</v>
      </c>
      <c r="N140" s="64">
        <v>655</v>
      </c>
      <c r="O140" s="69"/>
      <c r="P140" s="62">
        <f t="shared" si="28"/>
        <v>655</v>
      </c>
      <c r="R140" s="105">
        <f t="shared" si="34"/>
        <v>1080.7500000000002</v>
      </c>
      <c r="S140" s="105">
        <f t="shared" si="35"/>
        <v>792.55000000000018</v>
      </c>
      <c r="T140" s="105">
        <f t="shared" si="36"/>
        <v>756.5250000000002</v>
      </c>
      <c r="U140" s="75">
        <f t="shared" si="37"/>
        <v>720.50000000000011</v>
      </c>
      <c r="V140" s="108"/>
      <c r="W140" s="79"/>
      <c r="X140" s="86"/>
    </row>
    <row r="141" spans="1:24" ht="12.75" x14ac:dyDescent="0.2">
      <c r="A141" s="710"/>
      <c r="B141" s="14" t="s">
        <v>343</v>
      </c>
      <c r="C141" s="7" t="s">
        <v>86</v>
      </c>
      <c r="D141" s="7"/>
      <c r="E141" s="5">
        <v>12.5</v>
      </c>
      <c r="F141" s="3">
        <v>0</v>
      </c>
      <c r="G141" s="3">
        <v>12</v>
      </c>
      <c r="H141" s="13">
        <v>0</v>
      </c>
      <c r="I141" s="29">
        <f t="shared" si="29"/>
        <v>0</v>
      </c>
      <c r="J141" s="30">
        <f t="shared" si="30"/>
        <v>0</v>
      </c>
      <c r="K141" s="93">
        <f t="shared" si="31"/>
        <v>1650</v>
      </c>
      <c r="L141" s="93">
        <f t="shared" si="32"/>
        <v>1210</v>
      </c>
      <c r="M141" s="93">
        <f t="shared" si="33"/>
        <v>1155</v>
      </c>
      <c r="N141" s="64">
        <v>1100</v>
      </c>
      <c r="O141" s="69"/>
      <c r="P141" s="62">
        <f t="shared" si="28"/>
        <v>1100</v>
      </c>
      <c r="R141" s="105">
        <f t="shared" si="34"/>
        <v>1815</v>
      </c>
      <c r="S141" s="105">
        <f t="shared" si="35"/>
        <v>1331</v>
      </c>
      <c r="T141" s="105">
        <f t="shared" si="36"/>
        <v>1270.5</v>
      </c>
      <c r="U141" s="75">
        <f t="shared" si="37"/>
        <v>1210</v>
      </c>
      <c r="V141" s="108"/>
      <c r="W141" s="79"/>
      <c r="X141" s="86"/>
    </row>
    <row r="142" spans="1:24" ht="12.75" x14ac:dyDescent="0.2">
      <c r="A142" s="710"/>
      <c r="B142" s="14" t="s">
        <v>342</v>
      </c>
      <c r="C142" s="7" t="s">
        <v>86</v>
      </c>
      <c r="D142" s="7"/>
      <c r="E142" s="5">
        <v>12.5</v>
      </c>
      <c r="F142" s="3">
        <v>0</v>
      </c>
      <c r="G142" s="3">
        <v>12</v>
      </c>
      <c r="H142" s="13">
        <v>0</v>
      </c>
      <c r="I142" s="29">
        <f t="shared" si="29"/>
        <v>0</v>
      </c>
      <c r="J142" s="30">
        <f t="shared" si="30"/>
        <v>0</v>
      </c>
      <c r="K142" s="93">
        <f t="shared" si="31"/>
        <v>1650</v>
      </c>
      <c r="L142" s="93">
        <f t="shared" si="32"/>
        <v>1210</v>
      </c>
      <c r="M142" s="93">
        <f t="shared" si="33"/>
        <v>1155</v>
      </c>
      <c r="N142" s="64">
        <v>1100</v>
      </c>
      <c r="O142" s="69"/>
      <c r="P142" s="62">
        <f t="shared" si="28"/>
        <v>1100</v>
      </c>
      <c r="R142" s="105">
        <f t="shared" si="34"/>
        <v>1815</v>
      </c>
      <c r="S142" s="105">
        <f t="shared" si="35"/>
        <v>1331</v>
      </c>
      <c r="T142" s="105">
        <f t="shared" si="36"/>
        <v>1270.5</v>
      </c>
      <c r="U142" s="75">
        <f t="shared" si="37"/>
        <v>1210</v>
      </c>
      <c r="V142" s="108"/>
      <c r="W142" s="79"/>
      <c r="X142" s="86"/>
    </row>
    <row r="143" spans="1:24" ht="25.5" x14ac:dyDescent="0.2">
      <c r="A143" s="710"/>
      <c r="B143" s="14" t="s">
        <v>324</v>
      </c>
      <c r="C143" s="7" t="s">
        <v>105</v>
      </c>
      <c r="D143" s="44" t="s">
        <v>291</v>
      </c>
      <c r="E143" s="5">
        <v>15.2</v>
      </c>
      <c r="F143" s="3">
        <v>0.17</v>
      </c>
      <c r="G143" s="3"/>
      <c r="H143" s="13">
        <v>0</v>
      </c>
      <c r="I143" s="29">
        <f t="shared" si="29"/>
        <v>0</v>
      </c>
      <c r="J143" s="30">
        <f t="shared" si="30"/>
        <v>0</v>
      </c>
      <c r="K143" s="93">
        <f t="shared" si="31"/>
        <v>3150</v>
      </c>
      <c r="L143" s="93">
        <f t="shared" si="32"/>
        <v>2310</v>
      </c>
      <c r="M143" s="93">
        <f t="shared" si="33"/>
        <v>2205</v>
      </c>
      <c r="N143" s="64">
        <v>2100</v>
      </c>
      <c r="O143" s="69">
        <v>993.7</v>
      </c>
      <c r="P143" s="62">
        <f t="shared" si="28"/>
        <v>1106.3</v>
      </c>
      <c r="R143" s="105">
        <f t="shared" si="34"/>
        <v>3465</v>
      </c>
      <c r="S143" s="105">
        <f t="shared" si="35"/>
        <v>2541</v>
      </c>
      <c r="T143" s="105">
        <f t="shared" si="36"/>
        <v>2425.5</v>
      </c>
      <c r="U143" s="75">
        <f t="shared" si="37"/>
        <v>2310</v>
      </c>
      <c r="V143" s="108">
        <f>O143*1.1</f>
        <v>1093.0700000000002</v>
      </c>
      <c r="W143" s="79">
        <f>U143-V143</f>
        <v>1216.9299999999998</v>
      </c>
      <c r="X143" s="86">
        <v>777.2</v>
      </c>
    </row>
    <row r="144" spans="1:24" ht="25.5" x14ac:dyDescent="0.2">
      <c r="A144" s="710"/>
      <c r="B144" s="14" t="s">
        <v>325</v>
      </c>
      <c r="C144" s="7" t="s">
        <v>105</v>
      </c>
      <c r="D144" s="44" t="s">
        <v>291</v>
      </c>
      <c r="E144" s="5">
        <v>15.2</v>
      </c>
      <c r="F144" s="3">
        <v>0.17</v>
      </c>
      <c r="G144" s="3"/>
      <c r="H144" s="13">
        <v>0</v>
      </c>
      <c r="I144" s="29">
        <f t="shared" si="29"/>
        <v>0</v>
      </c>
      <c r="J144" s="30">
        <f t="shared" si="30"/>
        <v>0</v>
      </c>
      <c r="K144" s="93">
        <f t="shared" si="31"/>
        <v>3150</v>
      </c>
      <c r="L144" s="93">
        <f t="shared" si="32"/>
        <v>2310</v>
      </c>
      <c r="M144" s="93">
        <f t="shared" si="33"/>
        <v>2205</v>
      </c>
      <c r="N144" s="64">
        <v>2100</v>
      </c>
      <c r="O144" s="69">
        <v>993.7</v>
      </c>
      <c r="P144" s="62">
        <f t="shared" si="28"/>
        <v>1106.3</v>
      </c>
      <c r="R144" s="105">
        <f t="shared" si="34"/>
        <v>3465</v>
      </c>
      <c r="S144" s="105">
        <f t="shared" si="35"/>
        <v>2541</v>
      </c>
      <c r="T144" s="105">
        <f t="shared" si="36"/>
        <v>2425.5</v>
      </c>
      <c r="U144" s="75">
        <f t="shared" si="37"/>
        <v>2310</v>
      </c>
      <c r="V144" s="108">
        <f>O144*1.1</f>
        <v>1093.0700000000002</v>
      </c>
      <c r="W144" s="79">
        <f>U144-V144</f>
        <v>1216.9299999999998</v>
      </c>
      <c r="X144" s="86">
        <v>777.2</v>
      </c>
    </row>
    <row r="145" spans="1:24" ht="12.75" x14ac:dyDescent="0.2">
      <c r="A145" s="710"/>
      <c r="B145" s="14" t="s">
        <v>427</v>
      </c>
      <c r="C145" s="7" t="s">
        <v>66</v>
      </c>
      <c r="D145" s="7"/>
      <c r="E145" s="5">
        <v>13.5</v>
      </c>
      <c r="F145" s="3">
        <v>0.1</v>
      </c>
      <c r="G145" s="3">
        <v>10</v>
      </c>
      <c r="H145" s="13">
        <v>0</v>
      </c>
      <c r="I145" s="29">
        <f t="shared" si="29"/>
        <v>0</v>
      </c>
      <c r="J145" s="30">
        <f t="shared" si="30"/>
        <v>0</v>
      </c>
      <c r="K145" s="93">
        <f t="shared" si="31"/>
        <v>2625</v>
      </c>
      <c r="L145" s="93">
        <f t="shared" si="32"/>
        <v>1925.0000000000002</v>
      </c>
      <c r="M145" s="93">
        <f t="shared" si="33"/>
        <v>1837.5</v>
      </c>
      <c r="N145" s="64">
        <v>1750</v>
      </c>
      <c r="O145" s="69"/>
      <c r="P145" s="62">
        <f t="shared" si="28"/>
        <v>1750</v>
      </c>
      <c r="R145" s="105">
        <f t="shared" si="34"/>
        <v>2887.5000000000005</v>
      </c>
      <c r="S145" s="105">
        <f t="shared" si="35"/>
        <v>2117.5000000000005</v>
      </c>
      <c r="T145" s="105">
        <f t="shared" si="36"/>
        <v>2021.2500000000002</v>
      </c>
      <c r="U145" s="75">
        <f t="shared" si="37"/>
        <v>1925.0000000000002</v>
      </c>
      <c r="V145" s="108"/>
      <c r="W145" s="79"/>
      <c r="X145" s="86"/>
    </row>
    <row r="146" spans="1:24" ht="12.75" x14ac:dyDescent="0.2">
      <c r="A146" s="710"/>
      <c r="B146" s="14" t="s">
        <v>428</v>
      </c>
      <c r="C146" s="7" t="s">
        <v>66</v>
      </c>
      <c r="D146" s="7"/>
      <c r="E146" s="5">
        <v>13.5</v>
      </c>
      <c r="F146" s="3">
        <v>0.1</v>
      </c>
      <c r="G146" s="3">
        <v>10</v>
      </c>
      <c r="H146" s="13">
        <v>0</v>
      </c>
      <c r="I146" s="29">
        <f t="shared" si="29"/>
        <v>0</v>
      </c>
      <c r="J146" s="30">
        <f t="shared" si="30"/>
        <v>0</v>
      </c>
      <c r="K146" s="93">
        <f t="shared" si="31"/>
        <v>2625</v>
      </c>
      <c r="L146" s="93">
        <f t="shared" si="32"/>
        <v>1925.0000000000002</v>
      </c>
      <c r="M146" s="93">
        <f t="shared" si="33"/>
        <v>1837.5</v>
      </c>
      <c r="N146" s="64">
        <v>1750</v>
      </c>
      <c r="O146" s="69"/>
      <c r="P146" s="62">
        <f t="shared" si="28"/>
        <v>1750</v>
      </c>
      <c r="R146" s="105">
        <f t="shared" si="34"/>
        <v>2887.5000000000005</v>
      </c>
      <c r="S146" s="105">
        <f t="shared" si="35"/>
        <v>2117.5000000000005</v>
      </c>
      <c r="T146" s="105">
        <f t="shared" si="36"/>
        <v>2021.2500000000002</v>
      </c>
      <c r="U146" s="75">
        <f t="shared" si="37"/>
        <v>1925.0000000000002</v>
      </c>
      <c r="V146" s="108"/>
      <c r="W146" s="79"/>
      <c r="X146" s="86"/>
    </row>
    <row r="147" spans="1:24" ht="12.75" x14ac:dyDescent="0.2">
      <c r="A147" s="710"/>
      <c r="B147" s="14" t="s">
        <v>429</v>
      </c>
      <c r="C147" s="7" t="s">
        <v>66</v>
      </c>
      <c r="D147" s="7"/>
      <c r="E147" s="5">
        <v>13.5</v>
      </c>
      <c r="F147" s="3">
        <v>0.1</v>
      </c>
      <c r="G147" s="3">
        <v>10</v>
      </c>
      <c r="H147" s="13">
        <v>0</v>
      </c>
      <c r="I147" s="29">
        <f t="shared" si="29"/>
        <v>0</v>
      </c>
      <c r="J147" s="30">
        <f t="shared" si="30"/>
        <v>0</v>
      </c>
      <c r="K147" s="93">
        <f t="shared" si="31"/>
        <v>2625</v>
      </c>
      <c r="L147" s="93">
        <f t="shared" si="32"/>
        <v>1925.0000000000002</v>
      </c>
      <c r="M147" s="93">
        <f t="shared" si="33"/>
        <v>1837.5</v>
      </c>
      <c r="N147" s="64">
        <v>1750</v>
      </c>
      <c r="O147" s="69"/>
      <c r="P147" s="62">
        <f t="shared" si="28"/>
        <v>1750</v>
      </c>
      <c r="R147" s="105">
        <f t="shared" si="34"/>
        <v>2887.5000000000005</v>
      </c>
      <c r="S147" s="105">
        <f t="shared" si="35"/>
        <v>2117.5000000000005</v>
      </c>
      <c r="T147" s="105">
        <f t="shared" si="36"/>
        <v>2021.2500000000002</v>
      </c>
      <c r="U147" s="75">
        <f t="shared" si="37"/>
        <v>1925.0000000000002</v>
      </c>
      <c r="V147" s="108"/>
      <c r="W147" s="79"/>
      <c r="X147" s="86"/>
    </row>
    <row r="148" spans="1:24" ht="12.75" x14ac:dyDescent="0.2">
      <c r="A148" s="710"/>
      <c r="B148" s="14" t="s">
        <v>430</v>
      </c>
      <c r="C148" s="7" t="s">
        <v>66</v>
      </c>
      <c r="D148" s="7"/>
      <c r="E148" s="5">
        <v>13.5</v>
      </c>
      <c r="F148" s="3">
        <v>0.1</v>
      </c>
      <c r="G148" s="3">
        <v>10</v>
      </c>
      <c r="H148" s="13">
        <v>0</v>
      </c>
      <c r="I148" s="29">
        <f t="shared" ref="I148:I179" si="38">H148*E148</f>
        <v>0</v>
      </c>
      <c r="J148" s="30">
        <f t="shared" ref="J148:J179" si="39">F148*H148</f>
        <v>0</v>
      </c>
      <c r="K148" s="93">
        <f t="shared" si="31"/>
        <v>2625</v>
      </c>
      <c r="L148" s="93">
        <f t="shared" si="32"/>
        <v>1925.0000000000002</v>
      </c>
      <c r="M148" s="93">
        <f t="shared" si="33"/>
        <v>1837.5</v>
      </c>
      <c r="N148" s="64">
        <v>1750</v>
      </c>
      <c r="O148" s="69"/>
      <c r="P148" s="62">
        <f t="shared" si="28"/>
        <v>1750</v>
      </c>
      <c r="R148" s="105">
        <f t="shared" si="34"/>
        <v>2887.5000000000005</v>
      </c>
      <c r="S148" s="105">
        <f t="shared" si="35"/>
        <v>2117.5000000000005</v>
      </c>
      <c r="T148" s="105">
        <f t="shared" si="36"/>
        <v>2021.2500000000002</v>
      </c>
      <c r="U148" s="75">
        <f t="shared" si="37"/>
        <v>1925.0000000000002</v>
      </c>
      <c r="V148" s="108"/>
      <c r="W148" s="79"/>
      <c r="X148" s="86"/>
    </row>
    <row r="149" spans="1:24" ht="25.5" x14ac:dyDescent="0.2">
      <c r="A149" s="710"/>
      <c r="B149" s="14" t="s">
        <v>349</v>
      </c>
      <c r="C149" s="7" t="s">
        <v>106</v>
      </c>
      <c r="D149" s="44" t="s">
        <v>292</v>
      </c>
      <c r="E149" s="5">
        <v>18</v>
      </c>
      <c r="F149" s="3">
        <v>0.17</v>
      </c>
      <c r="G149" s="3"/>
      <c r="H149" s="13">
        <v>0</v>
      </c>
      <c r="I149" s="29">
        <f t="shared" si="38"/>
        <v>0</v>
      </c>
      <c r="J149" s="30">
        <f t="shared" si="39"/>
        <v>0</v>
      </c>
      <c r="K149" s="93">
        <f t="shared" si="31"/>
        <v>6000</v>
      </c>
      <c r="L149" s="93">
        <f t="shared" si="32"/>
        <v>4400</v>
      </c>
      <c r="M149" s="93">
        <f t="shared" si="33"/>
        <v>4200</v>
      </c>
      <c r="N149" s="64">
        <v>4000</v>
      </c>
      <c r="O149" s="69">
        <v>2506</v>
      </c>
      <c r="P149" s="62">
        <f t="shared" si="28"/>
        <v>1494</v>
      </c>
      <c r="R149" s="105">
        <f t="shared" si="34"/>
        <v>6600</v>
      </c>
      <c r="S149" s="105">
        <f t="shared" si="35"/>
        <v>4840</v>
      </c>
      <c r="T149" s="105">
        <f t="shared" si="36"/>
        <v>4620</v>
      </c>
      <c r="U149" s="75">
        <f t="shared" si="37"/>
        <v>4400</v>
      </c>
      <c r="V149" s="108">
        <f>O149*1.1</f>
        <v>2756.6000000000004</v>
      </c>
      <c r="W149" s="79">
        <f>U149-V149</f>
        <v>1643.3999999999996</v>
      </c>
      <c r="X149" s="86">
        <v>1040</v>
      </c>
    </row>
    <row r="150" spans="1:24" ht="25.5" x14ac:dyDescent="0.2">
      <c r="A150" s="710"/>
      <c r="B150" s="14" t="s">
        <v>350</v>
      </c>
      <c r="C150" s="7" t="s">
        <v>106</v>
      </c>
      <c r="D150" s="44" t="s">
        <v>292</v>
      </c>
      <c r="E150" s="5">
        <v>18</v>
      </c>
      <c r="F150" s="3">
        <v>0.17</v>
      </c>
      <c r="G150" s="3"/>
      <c r="H150" s="13">
        <v>0</v>
      </c>
      <c r="I150" s="29">
        <f t="shared" si="38"/>
        <v>0</v>
      </c>
      <c r="J150" s="30">
        <f t="shared" si="39"/>
        <v>0</v>
      </c>
      <c r="K150" s="93">
        <f t="shared" si="31"/>
        <v>6000</v>
      </c>
      <c r="L150" s="93">
        <f t="shared" si="32"/>
        <v>4400</v>
      </c>
      <c r="M150" s="93">
        <f t="shared" si="33"/>
        <v>4200</v>
      </c>
      <c r="N150" s="64">
        <v>4000</v>
      </c>
      <c r="O150" s="69">
        <v>2506</v>
      </c>
      <c r="P150" s="62">
        <f t="shared" si="28"/>
        <v>1494</v>
      </c>
      <c r="R150" s="105">
        <f t="shared" si="34"/>
        <v>6600</v>
      </c>
      <c r="S150" s="105">
        <f t="shared" si="35"/>
        <v>4840</v>
      </c>
      <c r="T150" s="105">
        <f t="shared" si="36"/>
        <v>4620</v>
      </c>
      <c r="U150" s="75">
        <f t="shared" si="37"/>
        <v>4400</v>
      </c>
      <c r="V150" s="108">
        <f>O150*1.1</f>
        <v>2756.6000000000004</v>
      </c>
      <c r="W150" s="79">
        <f>U150-V150</f>
        <v>1643.3999999999996</v>
      </c>
      <c r="X150" s="86">
        <v>1040</v>
      </c>
    </row>
    <row r="151" spans="1:24" ht="25.5" x14ac:dyDescent="0.2">
      <c r="A151" s="710"/>
      <c r="B151" s="14" t="s">
        <v>351</v>
      </c>
      <c r="C151" s="7" t="s">
        <v>106</v>
      </c>
      <c r="D151" s="44" t="s">
        <v>292</v>
      </c>
      <c r="E151" s="5">
        <v>18</v>
      </c>
      <c r="F151" s="3">
        <v>0.17</v>
      </c>
      <c r="G151" s="3"/>
      <c r="H151" s="13">
        <v>0</v>
      </c>
      <c r="I151" s="29">
        <f t="shared" si="38"/>
        <v>0</v>
      </c>
      <c r="J151" s="30">
        <f t="shared" si="39"/>
        <v>0</v>
      </c>
      <c r="K151" s="93">
        <f t="shared" si="31"/>
        <v>6000</v>
      </c>
      <c r="L151" s="93">
        <f t="shared" si="32"/>
        <v>4400</v>
      </c>
      <c r="M151" s="93">
        <f t="shared" si="33"/>
        <v>4200</v>
      </c>
      <c r="N151" s="64">
        <v>4000</v>
      </c>
      <c r="O151" s="69">
        <v>2506</v>
      </c>
      <c r="P151" s="62">
        <f t="shared" si="28"/>
        <v>1494</v>
      </c>
      <c r="R151" s="105">
        <f t="shared" si="34"/>
        <v>6600</v>
      </c>
      <c r="S151" s="105">
        <f t="shared" si="35"/>
        <v>4840</v>
      </c>
      <c r="T151" s="105">
        <f t="shared" si="36"/>
        <v>4620</v>
      </c>
      <c r="U151" s="75">
        <f t="shared" si="37"/>
        <v>4400</v>
      </c>
      <c r="V151" s="108">
        <f>O151*1.1</f>
        <v>2756.6000000000004</v>
      </c>
      <c r="W151" s="79">
        <f>U151-V151</f>
        <v>1643.3999999999996</v>
      </c>
      <c r="X151" s="86">
        <v>1040</v>
      </c>
    </row>
    <row r="152" spans="1:24" ht="25.5" x14ac:dyDescent="0.2">
      <c r="A152" s="710"/>
      <c r="B152" s="14" t="s">
        <v>352</v>
      </c>
      <c r="C152" s="7" t="s">
        <v>106</v>
      </c>
      <c r="D152" s="44" t="s">
        <v>292</v>
      </c>
      <c r="E152" s="5">
        <v>18</v>
      </c>
      <c r="F152" s="3">
        <v>0.17</v>
      </c>
      <c r="G152" s="3"/>
      <c r="H152" s="13">
        <v>0</v>
      </c>
      <c r="I152" s="29">
        <f t="shared" si="38"/>
        <v>0</v>
      </c>
      <c r="J152" s="30">
        <f t="shared" si="39"/>
        <v>0</v>
      </c>
      <c r="K152" s="93">
        <f t="shared" si="31"/>
        <v>6000</v>
      </c>
      <c r="L152" s="93">
        <f t="shared" si="32"/>
        <v>4400</v>
      </c>
      <c r="M152" s="93">
        <f t="shared" si="33"/>
        <v>4200</v>
      </c>
      <c r="N152" s="64">
        <v>4000</v>
      </c>
      <c r="O152" s="69">
        <v>2506</v>
      </c>
      <c r="P152" s="62">
        <f t="shared" si="28"/>
        <v>1494</v>
      </c>
      <c r="R152" s="105">
        <f t="shared" si="34"/>
        <v>6600</v>
      </c>
      <c r="S152" s="105">
        <f t="shared" si="35"/>
        <v>4840</v>
      </c>
      <c r="T152" s="105">
        <f t="shared" si="36"/>
        <v>4620</v>
      </c>
      <c r="U152" s="75">
        <f t="shared" si="37"/>
        <v>4400</v>
      </c>
      <c r="V152" s="108">
        <f>O152*1.1</f>
        <v>2756.6000000000004</v>
      </c>
      <c r="W152" s="79">
        <f>U152-V152</f>
        <v>1643.3999999999996</v>
      </c>
      <c r="X152" s="86">
        <v>1040</v>
      </c>
    </row>
    <row r="153" spans="1:24" ht="25.5" x14ac:dyDescent="0.2">
      <c r="A153" s="710"/>
      <c r="B153" s="14" t="s">
        <v>353</v>
      </c>
      <c r="C153" s="7" t="s">
        <v>106</v>
      </c>
      <c r="D153" s="44" t="s">
        <v>292</v>
      </c>
      <c r="E153" s="5">
        <v>18</v>
      </c>
      <c r="F153" s="3">
        <v>0.17</v>
      </c>
      <c r="G153" s="3"/>
      <c r="H153" s="13">
        <v>0</v>
      </c>
      <c r="I153" s="29">
        <f t="shared" si="38"/>
        <v>0</v>
      </c>
      <c r="J153" s="30">
        <f t="shared" si="39"/>
        <v>0</v>
      </c>
      <c r="K153" s="93">
        <f t="shared" si="31"/>
        <v>6000</v>
      </c>
      <c r="L153" s="93">
        <f t="shared" si="32"/>
        <v>4400</v>
      </c>
      <c r="M153" s="93">
        <f t="shared" si="33"/>
        <v>4200</v>
      </c>
      <c r="N153" s="64">
        <v>4000</v>
      </c>
      <c r="O153" s="69">
        <v>2506</v>
      </c>
      <c r="P153" s="62">
        <f t="shared" si="28"/>
        <v>1494</v>
      </c>
      <c r="R153" s="105">
        <f t="shared" si="34"/>
        <v>6600</v>
      </c>
      <c r="S153" s="105">
        <f t="shared" si="35"/>
        <v>4840</v>
      </c>
      <c r="T153" s="105">
        <f t="shared" si="36"/>
        <v>4620</v>
      </c>
      <c r="U153" s="75">
        <f t="shared" si="37"/>
        <v>4400</v>
      </c>
      <c r="V153" s="108">
        <f>O153*1.1</f>
        <v>2756.6000000000004</v>
      </c>
      <c r="W153" s="79">
        <f>U153-V153</f>
        <v>1643.3999999999996</v>
      </c>
      <c r="X153" s="86">
        <v>1040</v>
      </c>
    </row>
    <row r="154" spans="1:24" ht="12.75" x14ac:dyDescent="0.2">
      <c r="A154" s="710" t="s">
        <v>157</v>
      </c>
      <c r="B154" s="14" t="s">
        <v>411</v>
      </c>
      <c r="C154" s="7" t="s">
        <v>67</v>
      </c>
      <c r="D154" s="7"/>
      <c r="E154" s="5">
        <v>13.5</v>
      </c>
      <c r="F154" s="3">
        <v>7.0000000000000007E-2</v>
      </c>
      <c r="G154" s="3">
        <v>10</v>
      </c>
      <c r="H154" s="13">
        <v>0</v>
      </c>
      <c r="I154" s="29">
        <f t="shared" si="38"/>
        <v>0</v>
      </c>
      <c r="J154" s="30">
        <f t="shared" si="39"/>
        <v>0</v>
      </c>
      <c r="K154" s="93">
        <f t="shared" si="31"/>
        <v>2625</v>
      </c>
      <c r="L154" s="93">
        <f t="shared" si="32"/>
        <v>1925.0000000000002</v>
      </c>
      <c r="M154" s="93">
        <f t="shared" si="33"/>
        <v>1837.5</v>
      </c>
      <c r="N154" s="64">
        <v>1750</v>
      </c>
      <c r="O154" s="69"/>
      <c r="P154" s="62">
        <f t="shared" si="28"/>
        <v>1750</v>
      </c>
      <c r="R154" s="105">
        <f t="shared" si="34"/>
        <v>2887.5000000000005</v>
      </c>
      <c r="S154" s="105">
        <f t="shared" si="35"/>
        <v>2117.5000000000005</v>
      </c>
      <c r="T154" s="105">
        <f t="shared" si="36"/>
        <v>2021.2500000000002</v>
      </c>
      <c r="U154" s="75">
        <f t="shared" si="37"/>
        <v>1925.0000000000002</v>
      </c>
      <c r="V154" s="108"/>
      <c r="W154" s="79"/>
      <c r="X154" s="86"/>
    </row>
    <row r="155" spans="1:24" ht="12.75" x14ac:dyDescent="0.2">
      <c r="A155" s="710"/>
      <c r="B155" s="14" t="s">
        <v>412</v>
      </c>
      <c r="C155" s="7" t="s">
        <v>68</v>
      </c>
      <c r="D155" s="7"/>
      <c r="E155" s="5">
        <v>14.2</v>
      </c>
      <c r="F155" s="3">
        <v>0.09</v>
      </c>
      <c r="G155" s="3">
        <v>10</v>
      </c>
      <c r="H155" s="13">
        <v>0</v>
      </c>
      <c r="I155" s="29">
        <f t="shared" si="38"/>
        <v>0</v>
      </c>
      <c r="J155" s="30">
        <f t="shared" si="39"/>
        <v>0</v>
      </c>
      <c r="K155" s="93">
        <f t="shared" si="31"/>
        <v>2812.5</v>
      </c>
      <c r="L155" s="93">
        <f t="shared" si="32"/>
        <v>2062.5</v>
      </c>
      <c r="M155" s="93">
        <f t="shared" si="33"/>
        <v>1968.75</v>
      </c>
      <c r="N155" s="64">
        <v>1875</v>
      </c>
      <c r="O155" s="69"/>
      <c r="P155" s="62">
        <f t="shared" si="28"/>
        <v>1875</v>
      </c>
      <c r="R155" s="105">
        <f t="shared" si="34"/>
        <v>3093.75</v>
      </c>
      <c r="S155" s="105">
        <f t="shared" si="35"/>
        <v>2268.75</v>
      </c>
      <c r="T155" s="105">
        <f t="shared" si="36"/>
        <v>2165.625</v>
      </c>
      <c r="U155" s="75">
        <f t="shared" si="37"/>
        <v>2062.5</v>
      </c>
      <c r="V155" s="108"/>
      <c r="W155" s="79"/>
      <c r="X155" s="86"/>
    </row>
    <row r="156" spans="1:24" ht="12.75" x14ac:dyDescent="0.2">
      <c r="A156" s="710"/>
      <c r="B156" s="14" t="s">
        <v>413</v>
      </c>
      <c r="C156" s="7" t="s">
        <v>69</v>
      </c>
      <c r="D156" s="7"/>
      <c r="E156" s="5">
        <v>16.5</v>
      </c>
      <c r="F156" s="3">
        <v>0.09</v>
      </c>
      <c r="G156" s="3">
        <v>10</v>
      </c>
      <c r="H156" s="13">
        <v>0</v>
      </c>
      <c r="I156" s="29">
        <f t="shared" si="38"/>
        <v>0</v>
      </c>
      <c r="J156" s="30">
        <f t="shared" si="39"/>
        <v>0</v>
      </c>
      <c r="K156" s="93">
        <f t="shared" si="31"/>
        <v>3000</v>
      </c>
      <c r="L156" s="93">
        <f t="shared" si="32"/>
        <v>2200</v>
      </c>
      <c r="M156" s="93">
        <f t="shared" si="33"/>
        <v>2100</v>
      </c>
      <c r="N156" s="64">
        <v>2000</v>
      </c>
      <c r="O156" s="69"/>
      <c r="P156" s="62">
        <f t="shared" si="28"/>
        <v>2000</v>
      </c>
      <c r="R156" s="105">
        <f t="shared" si="34"/>
        <v>3300</v>
      </c>
      <c r="S156" s="105">
        <f t="shared" si="35"/>
        <v>2420</v>
      </c>
      <c r="T156" s="105">
        <f t="shared" si="36"/>
        <v>2310</v>
      </c>
      <c r="U156" s="75">
        <f t="shared" si="37"/>
        <v>2200</v>
      </c>
      <c r="V156" s="108"/>
      <c r="W156" s="79"/>
      <c r="X156" s="86"/>
    </row>
    <row r="157" spans="1:24" ht="12.75" x14ac:dyDescent="0.2">
      <c r="A157" s="710"/>
      <c r="B157" s="14" t="s">
        <v>414</v>
      </c>
      <c r="C157" s="7" t="s">
        <v>84</v>
      </c>
      <c r="D157" s="7"/>
      <c r="E157" s="5">
        <v>34.5</v>
      </c>
      <c r="F157" s="3">
        <v>0.2</v>
      </c>
      <c r="G157" s="3">
        <v>6</v>
      </c>
      <c r="H157" s="13">
        <v>0</v>
      </c>
      <c r="I157" s="29">
        <f t="shared" si="38"/>
        <v>0</v>
      </c>
      <c r="J157" s="30">
        <f t="shared" si="39"/>
        <v>0</v>
      </c>
      <c r="K157" s="93">
        <f t="shared" si="31"/>
        <v>5550</v>
      </c>
      <c r="L157" s="93">
        <f t="shared" si="32"/>
        <v>4070.0000000000005</v>
      </c>
      <c r="M157" s="93">
        <f t="shared" si="33"/>
        <v>3885</v>
      </c>
      <c r="N157" s="64">
        <v>3700</v>
      </c>
      <c r="O157" s="69"/>
      <c r="P157" s="62">
        <f t="shared" si="28"/>
        <v>3700</v>
      </c>
      <c r="R157" s="105">
        <f t="shared" si="34"/>
        <v>6105.0000000000009</v>
      </c>
      <c r="S157" s="105">
        <f t="shared" si="35"/>
        <v>4477.0000000000009</v>
      </c>
      <c r="T157" s="105">
        <f t="shared" si="36"/>
        <v>4273.5000000000009</v>
      </c>
      <c r="U157" s="75">
        <f t="shared" si="37"/>
        <v>4070.0000000000005</v>
      </c>
      <c r="V157" s="108"/>
      <c r="W157" s="79"/>
      <c r="X157" s="86"/>
    </row>
    <row r="158" spans="1:24" s="26" customFormat="1" ht="12.75" x14ac:dyDescent="0.2">
      <c r="A158" s="710"/>
      <c r="B158" s="14" t="s">
        <v>36</v>
      </c>
      <c r="C158" s="7" t="s">
        <v>104</v>
      </c>
      <c r="D158" s="44" t="s">
        <v>293</v>
      </c>
      <c r="E158" s="5">
        <v>17</v>
      </c>
      <c r="F158" s="3">
        <v>0.15</v>
      </c>
      <c r="G158" s="3"/>
      <c r="H158" s="13">
        <v>0</v>
      </c>
      <c r="I158" s="29">
        <f t="shared" si="38"/>
        <v>0</v>
      </c>
      <c r="J158" s="30">
        <f t="shared" si="39"/>
        <v>0</v>
      </c>
      <c r="K158" s="93">
        <f t="shared" si="31"/>
        <v>4725</v>
      </c>
      <c r="L158" s="93">
        <f t="shared" si="32"/>
        <v>3465.0000000000005</v>
      </c>
      <c r="M158" s="93">
        <f t="shared" si="33"/>
        <v>3307.5</v>
      </c>
      <c r="N158" s="64">
        <v>3150</v>
      </c>
      <c r="O158" s="69">
        <v>2102.58</v>
      </c>
      <c r="P158" s="62">
        <f t="shared" si="28"/>
        <v>1047.42</v>
      </c>
      <c r="Q158" s="99"/>
      <c r="R158" s="105">
        <f t="shared" si="34"/>
        <v>5197.5000000000009</v>
      </c>
      <c r="S158" s="105">
        <f t="shared" si="35"/>
        <v>3811.5000000000009</v>
      </c>
      <c r="T158" s="105">
        <f t="shared" si="36"/>
        <v>3638.2500000000005</v>
      </c>
      <c r="U158" s="75">
        <f t="shared" si="37"/>
        <v>3465.0000000000005</v>
      </c>
      <c r="V158" s="108">
        <f>O158*1.1</f>
        <v>2312.8380000000002</v>
      </c>
      <c r="W158" s="79">
        <f>U158-V158</f>
        <v>1152.1620000000003</v>
      </c>
      <c r="X158" s="86">
        <v>928.3</v>
      </c>
    </row>
    <row r="159" spans="1:24" ht="25.5" x14ac:dyDescent="0.2">
      <c r="A159" s="710"/>
      <c r="B159" s="14" t="s">
        <v>37</v>
      </c>
      <c r="C159" s="7" t="s">
        <v>106</v>
      </c>
      <c r="D159" s="32" t="s">
        <v>292</v>
      </c>
      <c r="E159" s="5">
        <v>26</v>
      </c>
      <c r="F159" s="3">
        <v>0.17</v>
      </c>
      <c r="G159" s="3"/>
      <c r="H159" s="13">
        <v>0</v>
      </c>
      <c r="I159" s="29">
        <f t="shared" si="38"/>
        <v>0</v>
      </c>
      <c r="J159" s="30">
        <f t="shared" si="39"/>
        <v>0</v>
      </c>
      <c r="K159" s="93">
        <f t="shared" si="31"/>
        <v>6600</v>
      </c>
      <c r="L159" s="93">
        <f t="shared" si="32"/>
        <v>4840</v>
      </c>
      <c r="M159" s="93">
        <f t="shared" si="33"/>
        <v>4620</v>
      </c>
      <c r="N159" s="64">
        <v>4400</v>
      </c>
      <c r="O159" s="69">
        <v>2906.15</v>
      </c>
      <c r="P159" s="62">
        <f t="shared" si="28"/>
        <v>1493.85</v>
      </c>
      <c r="R159" s="105">
        <f t="shared" si="34"/>
        <v>7260</v>
      </c>
      <c r="S159" s="105">
        <f t="shared" si="35"/>
        <v>5324</v>
      </c>
      <c r="T159" s="105">
        <f t="shared" si="36"/>
        <v>5082</v>
      </c>
      <c r="U159" s="75">
        <f t="shared" si="37"/>
        <v>4840</v>
      </c>
      <c r="V159" s="108">
        <f>O159*1.1</f>
        <v>3196.7650000000003</v>
      </c>
      <c r="W159" s="79">
        <f>U159-V159</f>
        <v>1643.2349999999997</v>
      </c>
      <c r="X159" s="86">
        <v>1040</v>
      </c>
    </row>
    <row r="160" spans="1:24" ht="12.75" x14ac:dyDescent="0.2">
      <c r="A160" s="710"/>
      <c r="B160" s="14" t="s">
        <v>38</v>
      </c>
      <c r="C160" s="7" t="s">
        <v>107</v>
      </c>
      <c r="D160" s="44" t="s">
        <v>294</v>
      </c>
      <c r="E160" s="5">
        <v>28.5</v>
      </c>
      <c r="F160" s="3">
        <v>0.2</v>
      </c>
      <c r="G160" s="3"/>
      <c r="H160" s="13">
        <v>0</v>
      </c>
      <c r="I160" s="29">
        <f t="shared" si="38"/>
        <v>0</v>
      </c>
      <c r="J160" s="30">
        <f t="shared" si="39"/>
        <v>0</v>
      </c>
      <c r="K160" s="93">
        <f t="shared" si="31"/>
        <v>8325</v>
      </c>
      <c r="L160" s="93">
        <f t="shared" si="32"/>
        <v>6105.0000000000009</v>
      </c>
      <c r="M160" s="93">
        <f t="shared" si="33"/>
        <v>5827.5</v>
      </c>
      <c r="N160" s="64">
        <v>5550</v>
      </c>
      <c r="O160" s="69">
        <v>3668</v>
      </c>
      <c r="P160" s="62">
        <f t="shared" si="28"/>
        <v>1882</v>
      </c>
      <c r="R160" s="105">
        <f t="shared" si="34"/>
        <v>9157.5000000000018</v>
      </c>
      <c r="S160" s="105">
        <f t="shared" si="35"/>
        <v>6715.5000000000018</v>
      </c>
      <c r="T160" s="105">
        <f t="shared" si="36"/>
        <v>6410.2500000000009</v>
      </c>
      <c r="U160" s="75">
        <f t="shared" si="37"/>
        <v>6105.0000000000009</v>
      </c>
      <c r="V160" s="108">
        <f>O160*1.1</f>
        <v>4034.8</v>
      </c>
      <c r="W160" s="79">
        <f>U160-V160</f>
        <v>2070.2000000000007</v>
      </c>
      <c r="X160" s="86">
        <v>1676</v>
      </c>
    </row>
    <row r="161" spans="1:24" ht="12.75" x14ac:dyDescent="0.2">
      <c r="A161" s="710" t="s">
        <v>158</v>
      </c>
      <c r="B161" s="14" t="s">
        <v>425</v>
      </c>
      <c r="C161" s="7" t="s">
        <v>10</v>
      </c>
      <c r="D161" s="7"/>
      <c r="E161" s="5">
        <v>15</v>
      </c>
      <c r="F161" s="3">
        <v>0.1</v>
      </c>
      <c r="G161" s="3">
        <v>10</v>
      </c>
      <c r="H161" s="13">
        <v>0</v>
      </c>
      <c r="I161" s="29">
        <f t="shared" si="38"/>
        <v>0</v>
      </c>
      <c r="J161" s="30">
        <f t="shared" si="39"/>
        <v>0</v>
      </c>
      <c r="K161" s="93">
        <f t="shared" si="31"/>
        <v>2775</v>
      </c>
      <c r="L161" s="93">
        <f t="shared" si="32"/>
        <v>2035.0000000000002</v>
      </c>
      <c r="M161" s="93">
        <f t="shared" si="33"/>
        <v>1942.5</v>
      </c>
      <c r="N161" s="64">
        <v>1850</v>
      </c>
      <c r="O161" s="69"/>
      <c r="P161" s="62">
        <f t="shared" si="28"/>
        <v>1850</v>
      </c>
      <c r="R161" s="105">
        <f t="shared" si="34"/>
        <v>3052.5000000000005</v>
      </c>
      <c r="S161" s="105">
        <f t="shared" si="35"/>
        <v>2238.5000000000005</v>
      </c>
      <c r="T161" s="105">
        <f t="shared" si="36"/>
        <v>2136.7500000000005</v>
      </c>
      <c r="U161" s="75">
        <f t="shared" si="37"/>
        <v>2035.0000000000002</v>
      </c>
      <c r="V161" s="108"/>
      <c r="W161" s="79"/>
      <c r="X161" s="86"/>
    </row>
    <row r="162" spans="1:24" ht="25.5" x14ac:dyDescent="0.2">
      <c r="A162" s="710"/>
      <c r="B162" s="14" t="s">
        <v>253</v>
      </c>
      <c r="C162" s="7" t="s">
        <v>105</v>
      </c>
      <c r="D162" s="44" t="s">
        <v>291</v>
      </c>
      <c r="E162" s="5">
        <v>16</v>
      </c>
      <c r="F162" s="3">
        <v>0.17</v>
      </c>
      <c r="G162" s="3"/>
      <c r="H162" s="13">
        <v>0</v>
      </c>
      <c r="I162" s="29">
        <f t="shared" si="38"/>
        <v>0</v>
      </c>
      <c r="J162" s="30">
        <f t="shared" si="39"/>
        <v>0</v>
      </c>
      <c r="K162" s="93">
        <f t="shared" si="31"/>
        <v>5850</v>
      </c>
      <c r="L162" s="93">
        <f t="shared" si="32"/>
        <v>4290</v>
      </c>
      <c r="M162" s="93">
        <f t="shared" si="33"/>
        <v>4095</v>
      </c>
      <c r="N162" s="64">
        <v>3900</v>
      </c>
      <c r="O162" s="69">
        <v>2793.7</v>
      </c>
      <c r="P162" s="62">
        <f t="shared" si="28"/>
        <v>1106.3000000000002</v>
      </c>
      <c r="R162" s="105">
        <f t="shared" si="34"/>
        <v>6435</v>
      </c>
      <c r="S162" s="105">
        <f t="shared" si="35"/>
        <v>4719</v>
      </c>
      <c r="T162" s="105">
        <f t="shared" si="36"/>
        <v>4504.5</v>
      </c>
      <c r="U162" s="75">
        <f t="shared" si="37"/>
        <v>4290</v>
      </c>
      <c r="V162" s="108">
        <f>O162*1.1</f>
        <v>3073.07</v>
      </c>
      <c r="W162" s="79">
        <f>U162-V162</f>
        <v>1216.9299999999998</v>
      </c>
      <c r="X162" s="86"/>
    </row>
    <row r="163" spans="1:24" ht="12.75" x14ac:dyDescent="0.2">
      <c r="A163" s="710" t="s">
        <v>162</v>
      </c>
      <c r="B163" s="14" t="s">
        <v>39</v>
      </c>
      <c r="C163" s="7" t="s">
        <v>92</v>
      </c>
      <c r="D163" s="32" t="s">
        <v>281</v>
      </c>
      <c r="E163" s="5">
        <v>28</v>
      </c>
      <c r="F163" s="3">
        <v>0.16</v>
      </c>
      <c r="G163" s="3"/>
      <c r="H163" s="13">
        <v>0</v>
      </c>
      <c r="I163" s="29">
        <f t="shared" si="38"/>
        <v>0</v>
      </c>
      <c r="J163" s="30">
        <f t="shared" si="39"/>
        <v>0</v>
      </c>
      <c r="K163" s="93">
        <f t="shared" si="31"/>
        <v>8775</v>
      </c>
      <c r="L163" s="93">
        <f t="shared" si="32"/>
        <v>6435.0000000000009</v>
      </c>
      <c r="M163" s="93">
        <f t="shared" si="33"/>
        <v>6142.5</v>
      </c>
      <c r="N163" s="64">
        <v>5850</v>
      </c>
      <c r="O163" s="69">
        <v>3289.9</v>
      </c>
      <c r="P163" s="62">
        <f t="shared" si="28"/>
        <v>2560.1</v>
      </c>
      <c r="R163" s="105">
        <f t="shared" si="34"/>
        <v>9652.5000000000018</v>
      </c>
      <c r="S163" s="105">
        <f t="shared" si="35"/>
        <v>7078.5000000000018</v>
      </c>
      <c r="T163" s="105">
        <f t="shared" si="36"/>
        <v>6756.7500000000009</v>
      </c>
      <c r="U163" s="75">
        <f t="shared" si="37"/>
        <v>6435.0000000000009</v>
      </c>
      <c r="V163" s="108">
        <f>O163*1.1</f>
        <v>3618.8900000000003</v>
      </c>
      <c r="W163" s="79">
        <f>U163-V163</f>
        <v>2816.1100000000006</v>
      </c>
      <c r="X163" s="86">
        <v>2293</v>
      </c>
    </row>
    <row r="164" spans="1:24" ht="12.75" x14ac:dyDescent="0.2">
      <c r="A164" s="710"/>
      <c r="B164" s="14" t="s">
        <v>40</v>
      </c>
      <c r="C164" s="16" t="s">
        <v>108</v>
      </c>
      <c r="D164" s="32" t="s">
        <v>281</v>
      </c>
      <c r="E164" s="3">
        <v>20.5</v>
      </c>
      <c r="F164" s="3">
        <v>0.22</v>
      </c>
      <c r="G164" s="34"/>
      <c r="H164" s="13">
        <v>0</v>
      </c>
      <c r="I164" s="29">
        <f t="shared" si="38"/>
        <v>0</v>
      </c>
      <c r="J164" s="30">
        <f t="shared" si="39"/>
        <v>0</v>
      </c>
      <c r="K164" s="93">
        <f t="shared" si="31"/>
        <v>10200</v>
      </c>
      <c r="L164" s="93">
        <f t="shared" si="32"/>
        <v>7480.0000000000009</v>
      </c>
      <c r="M164" s="93">
        <f t="shared" si="33"/>
        <v>7140</v>
      </c>
      <c r="N164" s="64">
        <v>6800</v>
      </c>
      <c r="O164" s="69">
        <v>4239.8999999999996</v>
      </c>
      <c r="P164" s="62">
        <f t="shared" si="28"/>
        <v>2560.1000000000004</v>
      </c>
      <c r="R164" s="105">
        <f t="shared" si="34"/>
        <v>11220.000000000002</v>
      </c>
      <c r="S164" s="105">
        <f t="shared" si="35"/>
        <v>8228.0000000000018</v>
      </c>
      <c r="T164" s="105">
        <f t="shared" si="36"/>
        <v>7854.0000000000009</v>
      </c>
      <c r="U164" s="75">
        <f t="shared" si="37"/>
        <v>7480.0000000000009</v>
      </c>
      <c r="V164" s="108">
        <f>O164*1.1</f>
        <v>4663.8900000000003</v>
      </c>
      <c r="W164" s="79">
        <f>U164-V164</f>
        <v>2816.1100000000006</v>
      </c>
      <c r="X164" s="86">
        <v>2293</v>
      </c>
    </row>
    <row r="165" spans="1:24" ht="12.75" x14ac:dyDescent="0.2">
      <c r="A165" s="710"/>
      <c r="B165" s="14" t="s">
        <v>41</v>
      </c>
      <c r="C165" s="7" t="s">
        <v>255</v>
      </c>
      <c r="D165" s="32" t="s">
        <v>282</v>
      </c>
      <c r="E165" s="3">
        <v>22.5</v>
      </c>
      <c r="F165" s="3">
        <v>0.24</v>
      </c>
      <c r="G165" s="34"/>
      <c r="H165" s="13">
        <v>0</v>
      </c>
      <c r="I165" s="29">
        <f t="shared" si="38"/>
        <v>0</v>
      </c>
      <c r="J165" s="30">
        <f t="shared" si="39"/>
        <v>0</v>
      </c>
      <c r="K165" s="93">
        <f t="shared" si="31"/>
        <v>9825</v>
      </c>
      <c r="L165" s="93">
        <f t="shared" si="32"/>
        <v>7205.0000000000009</v>
      </c>
      <c r="M165" s="93">
        <f t="shared" si="33"/>
        <v>6877.5</v>
      </c>
      <c r="N165" s="64">
        <v>6550</v>
      </c>
      <c r="O165" s="69">
        <v>3480</v>
      </c>
      <c r="P165" s="62">
        <f t="shared" ref="P165:P219" si="40">N165-O165</f>
        <v>3070</v>
      </c>
      <c r="R165" s="105">
        <f t="shared" si="34"/>
        <v>10807.500000000002</v>
      </c>
      <c r="S165" s="105">
        <f t="shared" si="35"/>
        <v>7925.5000000000018</v>
      </c>
      <c r="T165" s="105">
        <f t="shared" si="36"/>
        <v>7565.2500000000009</v>
      </c>
      <c r="U165" s="75">
        <f t="shared" si="37"/>
        <v>7205.0000000000009</v>
      </c>
      <c r="V165" s="108">
        <f>O165*1.1</f>
        <v>3828.0000000000005</v>
      </c>
      <c r="W165" s="79">
        <f>U165-V165</f>
        <v>3377.0000000000005</v>
      </c>
      <c r="X165" s="86"/>
    </row>
    <row r="166" spans="1:24" ht="12.75" x14ac:dyDescent="0.2">
      <c r="A166" s="710"/>
      <c r="B166" s="14" t="s">
        <v>254</v>
      </c>
      <c r="C166" s="7" t="s">
        <v>109</v>
      </c>
      <c r="D166" s="32" t="s">
        <v>282</v>
      </c>
      <c r="E166" s="3">
        <v>30.5</v>
      </c>
      <c r="F166" s="3">
        <v>0.24</v>
      </c>
      <c r="G166" s="34"/>
      <c r="H166" s="13">
        <v>0</v>
      </c>
      <c r="I166" s="29">
        <f t="shared" si="38"/>
        <v>0</v>
      </c>
      <c r="J166" s="30">
        <f t="shared" si="39"/>
        <v>0</v>
      </c>
      <c r="K166" s="93">
        <f t="shared" si="31"/>
        <v>13125</v>
      </c>
      <c r="L166" s="93">
        <f t="shared" si="32"/>
        <v>9625</v>
      </c>
      <c r="M166" s="93">
        <f t="shared" si="33"/>
        <v>9187.5</v>
      </c>
      <c r="N166" s="64">
        <v>8750</v>
      </c>
      <c r="O166" s="69">
        <v>5681</v>
      </c>
      <c r="P166" s="62">
        <f t="shared" si="40"/>
        <v>3069</v>
      </c>
      <c r="R166" s="105">
        <f t="shared" si="34"/>
        <v>14437.5</v>
      </c>
      <c r="S166" s="105">
        <f t="shared" si="35"/>
        <v>10587.5</v>
      </c>
      <c r="T166" s="105">
        <f t="shared" si="36"/>
        <v>10106.25</v>
      </c>
      <c r="U166" s="75">
        <f t="shared" si="37"/>
        <v>9625</v>
      </c>
      <c r="V166" s="108">
        <f>O166*1.1</f>
        <v>6249.1</v>
      </c>
      <c r="W166" s="79">
        <f>U166-V166</f>
        <v>3375.8999999999996</v>
      </c>
      <c r="X166" s="86"/>
    </row>
    <row r="167" spans="1:24" ht="12.75" x14ac:dyDescent="0.2">
      <c r="A167" s="710"/>
      <c r="B167" s="14" t="s">
        <v>401</v>
      </c>
      <c r="C167" s="7" t="s">
        <v>82</v>
      </c>
      <c r="D167" s="45"/>
      <c r="E167" s="5">
        <v>27.5</v>
      </c>
      <c r="F167" s="3">
        <v>0.2</v>
      </c>
      <c r="G167" s="3">
        <v>6</v>
      </c>
      <c r="H167" s="13">
        <v>0</v>
      </c>
      <c r="I167" s="29">
        <f t="shared" si="38"/>
        <v>0</v>
      </c>
      <c r="J167" s="30">
        <f t="shared" si="39"/>
        <v>0</v>
      </c>
      <c r="K167" s="93">
        <f t="shared" si="31"/>
        <v>7650</v>
      </c>
      <c r="L167" s="93">
        <f t="shared" si="32"/>
        <v>5610</v>
      </c>
      <c r="M167" s="93">
        <f t="shared" si="33"/>
        <v>5355</v>
      </c>
      <c r="N167" s="64">
        <v>5100</v>
      </c>
      <c r="O167" s="69"/>
      <c r="P167" s="62">
        <f t="shared" si="40"/>
        <v>5100</v>
      </c>
      <c r="R167" s="105">
        <f t="shared" si="34"/>
        <v>8415</v>
      </c>
      <c r="S167" s="105">
        <f t="shared" si="35"/>
        <v>6171.0000000000009</v>
      </c>
      <c r="T167" s="105">
        <f t="shared" si="36"/>
        <v>5890.5</v>
      </c>
      <c r="U167" s="75">
        <f t="shared" si="37"/>
        <v>5610</v>
      </c>
      <c r="V167" s="108"/>
      <c r="W167" s="79"/>
      <c r="X167" s="86"/>
    </row>
    <row r="168" spans="1:24" ht="12.75" x14ac:dyDescent="0.2">
      <c r="A168" s="710" t="s">
        <v>140</v>
      </c>
      <c r="B168" s="14" t="s">
        <v>184</v>
      </c>
      <c r="C168" s="7" t="s">
        <v>70</v>
      </c>
      <c r="D168" s="45"/>
      <c r="E168" s="5">
        <v>23.5</v>
      </c>
      <c r="F168" s="3">
        <v>0.16</v>
      </c>
      <c r="G168" s="3">
        <v>10</v>
      </c>
      <c r="H168" s="13">
        <v>0</v>
      </c>
      <c r="I168" s="29">
        <f t="shared" si="38"/>
        <v>0</v>
      </c>
      <c r="J168" s="30">
        <f t="shared" si="39"/>
        <v>0</v>
      </c>
      <c r="K168" s="93">
        <f t="shared" si="31"/>
        <v>6225</v>
      </c>
      <c r="L168" s="93">
        <f t="shared" si="32"/>
        <v>4565</v>
      </c>
      <c r="M168" s="93">
        <f t="shared" si="33"/>
        <v>4357.5</v>
      </c>
      <c r="N168" s="64">
        <v>4150</v>
      </c>
      <c r="O168" s="69"/>
      <c r="P168" s="62">
        <f t="shared" si="40"/>
        <v>4150</v>
      </c>
      <c r="R168" s="105">
        <f t="shared" si="34"/>
        <v>6847.5</v>
      </c>
      <c r="S168" s="105">
        <f t="shared" si="35"/>
        <v>5021.5</v>
      </c>
      <c r="T168" s="105">
        <f t="shared" si="36"/>
        <v>4793.25</v>
      </c>
      <c r="U168" s="75">
        <f t="shared" si="37"/>
        <v>4565</v>
      </c>
      <c r="V168" s="108"/>
      <c r="W168" s="79"/>
      <c r="X168" s="86"/>
    </row>
    <row r="169" spans="1:24" ht="12.75" x14ac:dyDescent="0.2">
      <c r="A169" s="710"/>
      <c r="B169" s="14" t="s">
        <v>401</v>
      </c>
      <c r="C169" s="7" t="s">
        <v>82</v>
      </c>
      <c r="D169" s="45"/>
      <c r="E169" s="5">
        <v>27.5</v>
      </c>
      <c r="F169" s="3">
        <v>0.2</v>
      </c>
      <c r="G169" s="3">
        <v>6</v>
      </c>
      <c r="H169" s="13">
        <v>0</v>
      </c>
      <c r="I169" s="29">
        <f t="shared" si="38"/>
        <v>0</v>
      </c>
      <c r="J169" s="30">
        <f t="shared" si="39"/>
        <v>0</v>
      </c>
      <c r="K169" s="93">
        <f t="shared" si="31"/>
        <v>7650</v>
      </c>
      <c r="L169" s="93">
        <f t="shared" si="32"/>
        <v>5610</v>
      </c>
      <c r="M169" s="93">
        <f t="shared" si="33"/>
        <v>5355</v>
      </c>
      <c r="N169" s="64">
        <v>5100</v>
      </c>
      <c r="O169" s="69"/>
      <c r="P169" s="62">
        <f>N169-O169</f>
        <v>5100</v>
      </c>
      <c r="R169" s="105">
        <f t="shared" si="34"/>
        <v>8415</v>
      </c>
      <c r="S169" s="105">
        <f t="shared" si="35"/>
        <v>6171.0000000000009</v>
      </c>
      <c r="T169" s="105">
        <f t="shared" si="36"/>
        <v>5890.5</v>
      </c>
      <c r="U169" s="75">
        <f t="shared" si="37"/>
        <v>5610</v>
      </c>
      <c r="V169" s="108"/>
      <c r="W169" s="79"/>
      <c r="X169" s="86"/>
    </row>
    <row r="170" spans="1:24" ht="25.5" x14ac:dyDescent="0.2">
      <c r="A170" s="710"/>
      <c r="B170" s="14" t="s">
        <v>256</v>
      </c>
      <c r="C170" s="7" t="s">
        <v>110</v>
      </c>
      <c r="D170" s="32" t="s">
        <v>295</v>
      </c>
      <c r="E170" s="5">
        <v>28</v>
      </c>
      <c r="F170" s="3">
        <v>0.25</v>
      </c>
      <c r="G170" s="3"/>
      <c r="H170" s="13">
        <v>0</v>
      </c>
      <c r="I170" s="29">
        <f t="shared" si="38"/>
        <v>0</v>
      </c>
      <c r="J170" s="30">
        <f t="shared" si="39"/>
        <v>0</v>
      </c>
      <c r="K170" s="93">
        <f t="shared" si="31"/>
        <v>17775</v>
      </c>
      <c r="L170" s="93">
        <f t="shared" si="32"/>
        <v>13035.000000000002</v>
      </c>
      <c r="M170" s="93">
        <f t="shared" si="33"/>
        <v>12442.5</v>
      </c>
      <c r="N170" s="64">
        <v>11850</v>
      </c>
      <c r="O170" s="69">
        <v>6162</v>
      </c>
      <c r="P170" s="62">
        <f t="shared" si="40"/>
        <v>5688</v>
      </c>
      <c r="R170" s="105">
        <f t="shared" si="34"/>
        <v>19552.500000000004</v>
      </c>
      <c r="S170" s="105">
        <f t="shared" si="35"/>
        <v>14338.500000000004</v>
      </c>
      <c r="T170" s="105">
        <f t="shared" si="36"/>
        <v>13686.750000000002</v>
      </c>
      <c r="U170" s="75">
        <f t="shared" si="37"/>
        <v>13035.000000000002</v>
      </c>
      <c r="V170" s="108">
        <f>O170*1.1</f>
        <v>6778.2000000000007</v>
      </c>
      <c r="W170" s="79">
        <f>U170-V170</f>
        <v>6256.8000000000011</v>
      </c>
      <c r="X170" s="86">
        <v>5608</v>
      </c>
    </row>
    <row r="171" spans="1:24" ht="25.5" x14ac:dyDescent="0.2">
      <c r="A171" s="710"/>
      <c r="B171" s="14" t="s">
        <v>257</v>
      </c>
      <c r="C171" s="7" t="s">
        <v>111</v>
      </c>
      <c r="D171" s="32" t="s">
        <v>295</v>
      </c>
      <c r="E171" s="3">
        <v>30.5</v>
      </c>
      <c r="F171" s="3">
        <v>0.42</v>
      </c>
      <c r="G171" s="34"/>
      <c r="H171" s="13">
        <v>0</v>
      </c>
      <c r="I171" s="29">
        <f t="shared" si="38"/>
        <v>0</v>
      </c>
      <c r="J171" s="30">
        <f t="shared" si="39"/>
        <v>0</v>
      </c>
      <c r="K171" s="93">
        <f t="shared" si="31"/>
        <v>22500</v>
      </c>
      <c r="L171" s="93">
        <f t="shared" si="32"/>
        <v>16500</v>
      </c>
      <c r="M171" s="93">
        <f t="shared" si="33"/>
        <v>15750</v>
      </c>
      <c r="N171" s="64">
        <v>15000</v>
      </c>
      <c r="O171" s="69">
        <v>9312</v>
      </c>
      <c r="P171" s="62">
        <f t="shared" si="40"/>
        <v>5688</v>
      </c>
      <c r="R171" s="105">
        <f t="shared" si="34"/>
        <v>24750</v>
      </c>
      <c r="S171" s="105">
        <f t="shared" si="35"/>
        <v>18150</v>
      </c>
      <c r="T171" s="105">
        <f t="shared" si="36"/>
        <v>17325</v>
      </c>
      <c r="U171" s="75">
        <f t="shared" si="37"/>
        <v>16500</v>
      </c>
      <c r="V171" s="108">
        <f>O171*1.1</f>
        <v>10243.200000000001</v>
      </c>
      <c r="W171" s="79">
        <f>U171-V171</f>
        <v>6256.7999999999993</v>
      </c>
      <c r="X171" s="86">
        <v>5608</v>
      </c>
    </row>
    <row r="172" spans="1:24" ht="12.75" x14ac:dyDescent="0.2">
      <c r="A172" s="710" t="s">
        <v>141</v>
      </c>
      <c r="B172" s="14" t="s">
        <v>185</v>
      </c>
      <c r="C172" s="7" t="s">
        <v>354</v>
      </c>
      <c r="D172" s="45"/>
      <c r="E172" s="5">
        <v>10.5</v>
      </c>
      <c r="F172" s="3">
        <v>0.02</v>
      </c>
      <c r="G172" s="3">
        <v>10</v>
      </c>
      <c r="H172" s="13">
        <v>0</v>
      </c>
      <c r="I172" s="29">
        <f t="shared" si="38"/>
        <v>0</v>
      </c>
      <c r="J172" s="30">
        <f t="shared" si="39"/>
        <v>0</v>
      </c>
      <c r="K172" s="93">
        <f t="shared" si="31"/>
        <v>6525</v>
      </c>
      <c r="L172" s="93">
        <f t="shared" si="32"/>
        <v>4785</v>
      </c>
      <c r="M172" s="93">
        <f t="shared" si="33"/>
        <v>4567.5</v>
      </c>
      <c r="N172" s="64">
        <v>4350</v>
      </c>
      <c r="O172" s="69"/>
      <c r="P172" s="62">
        <f t="shared" si="40"/>
        <v>4350</v>
      </c>
      <c r="R172" s="105">
        <f t="shared" si="34"/>
        <v>7177.5</v>
      </c>
      <c r="S172" s="105">
        <f t="shared" si="35"/>
        <v>5263.5</v>
      </c>
      <c r="T172" s="105">
        <f t="shared" si="36"/>
        <v>5024.25</v>
      </c>
      <c r="U172" s="75">
        <f t="shared" si="37"/>
        <v>4785</v>
      </c>
      <c r="V172" s="108"/>
      <c r="W172" s="79"/>
      <c r="X172" s="86"/>
    </row>
    <row r="173" spans="1:24" ht="12.75" x14ac:dyDescent="0.2">
      <c r="A173" s="710"/>
      <c r="B173" s="14" t="s">
        <v>345</v>
      </c>
      <c r="C173" s="7" t="s">
        <v>354</v>
      </c>
      <c r="D173" s="45"/>
      <c r="E173" s="5">
        <v>10.5</v>
      </c>
      <c r="F173" s="3">
        <v>0.02</v>
      </c>
      <c r="G173" s="3">
        <v>10</v>
      </c>
      <c r="H173" s="13">
        <v>0</v>
      </c>
      <c r="I173" s="29">
        <f t="shared" si="38"/>
        <v>0</v>
      </c>
      <c r="J173" s="30">
        <f t="shared" si="39"/>
        <v>0</v>
      </c>
      <c r="K173" s="93">
        <f t="shared" si="31"/>
        <v>6525</v>
      </c>
      <c r="L173" s="93">
        <f t="shared" si="32"/>
        <v>4785</v>
      </c>
      <c r="M173" s="93">
        <f t="shared" si="33"/>
        <v>4567.5</v>
      </c>
      <c r="N173" s="64">
        <v>4350</v>
      </c>
      <c r="O173" s="69"/>
      <c r="P173" s="62">
        <f t="shared" si="40"/>
        <v>4350</v>
      </c>
      <c r="R173" s="105">
        <f t="shared" si="34"/>
        <v>7177.5</v>
      </c>
      <c r="S173" s="105">
        <f t="shared" si="35"/>
        <v>5263.5</v>
      </c>
      <c r="T173" s="105">
        <f t="shared" si="36"/>
        <v>5024.25</v>
      </c>
      <c r="U173" s="75">
        <f t="shared" si="37"/>
        <v>4785</v>
      </c>
      <c r="V173" s="108"/>
      <c r="W173" s="79"/>
      <c r="X173" s="86"/>
    </row>
    <row r="174" spans="1:24" ht="12.75" x14ac:dyDescent="0.2">
      <c r="A174" s="710"/>
      <c r="B174" s="14" t="s">
        <v>404</v>
      </c>
      <c r="C174" s="7" t="s">
        <v>85</v>
      </c>
      <c r="D174" s="45"/>
      <c r="E174" s="5">
        <v>34.799999999999997</v>
      </c>
      <c r="F174" s="3">
        <v>0.25</v>
      </c>
      <c r="G174" s="3">
        <v>6</v>
      </c>
      <c r="H174" s="13">
        <v>0</v>
      </c>
      <c r="I174" s="29">
        <f t="shared" si="38"/>
        <v>0</v>
      </c>
      <c r="J174" s="30">
        <f t="shared" si="39"/>
        <v>0</v>
      </c>
      <c r="K174" s="93">
        <f t="shared" si="31"/>
        <v>11700</v>
      </c>
      <c r="L174" s="93">
        <f t="shared" si="32"/>
        <v>8580</v>
      </c>
      <c r="M174" s="93">
        <f t="shared" si="33"/>
        <v>8190</v>
      </c>
      <c r="N174" s="64">
        <v>7800</v>
      </c>
      <c r="O174" s="69"/>
      <c r="P174" s="62">
        <f t="shared" si="40"/>
        <v>7800</v>
      </c>
      <c r="R174" s="105">
        <f t="shared" si="34"/>
        <v>12870</v>
      </c>
      <c r="S174" s="105">
        <f t="shared" si="35"/>
        <v>9438</v>
      </c>
      <c r="T174" s="105">
        <f t="shared" si="36"/>
        <v>9009</v>
      </c>
      <c r="U174" s="75">
        <f t="shared" si="37"/>
        <v>8580</v>
      </c>
      <c r="V174" s="108"/>
      <c r="W174" s="79"/>
      <c r="X174" s="86"/>
    </row>
    <row r="175" spans="1:24" ht="12.75" x14ac:dyDescent="0.2">
      <c r="A175" s="710"/>
      <c r="B175" s="14" t="s">
        <v>405</v>
      </c>
      <c r="C175" s="7" t="s">
        <v>85</v>
      </c>
      <c r="D175" s="45"/>
      <c r="E175" s="5">
        <v>34.799999999999997</v>
      </c>
      <c r="F175" s="3">
        <v>0.25</v>
      </c>
      <c r="G175" s="3">
        <v>6</v>
      </c>
      <c r="H175" s="13">
        <v>0</v>
      </c>
      <c r="I175" s="29">
        <f t="shared" si="38"/>
        <v>0</v>
      </c>
      <c r="J175" s="30">
        <f t="shared" si="39"/>
        <v>0</v>
      </c>
      <c r="K175" s="93">
        <f t="shared" si="31"/>
        <v>11700</v>
      </c>
      <c r="L175" s="93">
        <f t="shared" si="32"/>
        <v>8580</v>
      </c>
      <c r="M175" s="93">
        <f t="shared" si="33"/>
        <v>8190</v>
      </c>
      <c r="N175" s="64">
        <v>7800</v>
      </c>
      <c r="O175" s="69"/>
      <c r="P175" s="62">
        <f t="shared" si="40"/>
        <v>7800</v>
      </c>
      <c r="R175" s="105">
        <f t="shared" si="34"/>
        <v>12870</v>
      </c>
      <c r="S175" s="105">
        <f t="shared" si="35"/>
        <v>9438</v>
      </c>
      <c r="T175" s="105">
        <f t="shared" si="36"/>
        <v>9009</v>
      </c>
      <c r="U175" s="75">
        <f t="shared" si="37"/>
        <v>8580</v>
      </c>
      <c r="V175" s="108"/>
      <c r="W175" s="79"/>
      <c r="X175" s="86"/>
    </row>
    <row r="176" spans="1:24" ht="12.75" x14ac:dyDescent="0.2">
      <c r="A176" s="710"/>
      <c r="B176" s="14" t="s">
        <v>258</v>
      </c>
      <c r="C176" s="7" t="s">
        <v>92</v>
      </c>
      <c r="D176" s="32" t="s">
        <v>281</v>
      </c>
      <c r="E176" s="5">
        <v>18.399999999999999</v>
      </c>
      <c r="F176" s="3">
        <v>0.16</v>
      </c>
      <c r="G176" s="3"/>
      <c r="H176" s="13">
        <v>0</v>
      </c>
      <c r="I176" s="29">
        <f t="shared" si="38"/>
        <v>0</v>
      </c>
      <c r="J176" s="30">
        <f t="shared" si="39"/>
        <v>0</v>
      </c>
      <c r="K176" s="93">
        <f t="shared" si="31"/>
        <v>10500</v>
      </c>
      <c r="L176" s="93">
        <f t="shared" si="32"/>
        <v>7700.0000000000009</v>
      </c>
      <c r="M176" s="93">
        <f t="shared" si="33"/>
        <v>7350</v>
      </c>
      <c r="N176" s="64">
        <v>7000</v>
      </c>
      <c r="O176" s="69">
        <v>4440</v>
      </c>
      <c r="P176" s="62">
        <f t="shared" si="40"/>
        <v>2560</v>
      </c>
      <c r="R176" s="105">
        <f t="shared" si="34"/>
        <v>11550.000000000002</v>
      </c>
      <c r="S176" s="105">
        <f t="shared" si="35"/>
        <v>8470.0000000000018</v>
      </c>
      <c r="T176" s="105">
        <f t="shared" si="36"/>
        <v>8085.0000000000009</v>
      </c>
      <c r="U176" s="75">
        <f t="shared" si="37"/>
        <v>7700.0000000000009</v>
      </c>
      <c r="V176" s="108">
        <f>O176*1.1</f>
        <v>4884</v>
      </c>
      <c r="W176" s="79">
        <f>U176-V176</f>
        <v>2816.0000000000009</v>
      </c>
      <c r="X176" s="86">
        <v>2293</v>
      </c>
    </row>
    <row r="177" spans="1:24" ht="12.75" x14ac:dyDescent="0.2">
      <c r="A177" s="710"/>
      <c r="B177" s="14" t="s">
        <v>347</v>
      </c>
      <c r="C177" s="7" t="s">
        <v>92</v>
      </c>
      <c r="D177" s="32" t="s">
        <v>281</v>
      </c>
      <c r="E177" s="5">
        <v>18.399999999999999</v>
      </c>
      <c r="F177" s="3">
        <v>0.16</v>
      </c>
      <c r="G177" s="3"/>
      <c r="H177" s="13">
        <v>0</v>
      </c>
      <c r="I177" s="29">
        <f t="shared" si="38"/>
        <v>0</v>
      </c>
      <c r="J177" s="30">
        <f t="shared" si="39"/>
        <v>0</v>
      </c>
      <c r="K177" s="93">
        <f t="shared" si="31"/>
        <v>10500</v>
      </c>
      <c r="L177" s="93">
        <f t="shared" si="32"/>
        <v>7700.0000000000009</v>
      </c>
      <c r="M177" s="93">
        <f t="shared" si="33"/>
        <v>7350</v>
      </c>
      <c r="N177" s="64">
        <v>7000</v>
      </c>
      <c r="O177" s="69">
        <v>4440</v>
      </c>
      <c r="P177" s="62">
        <f t="shared" si="40"/>
        <v>2560</v>
      </c>
      <c r="R177" s="105">
        <f t="shared" si="34"/>
        <v>11550.000000000002</v>
      </c>
      <c r="S177" s="105">
        <f t="shared" si="35"/>
        <v>8470.0000000000018</v>
      </c>
      <c r="T177" s="105">
        <f t="shared" si="36"/>
        <v>8085.0000000000009</v>
      </c>
      <c r="U177" s="75">
        <f t="shared" si="37"/>
        <v>7700.0000000000009</v>
      </c>
      <c r="V177" s="108">
        <f>O177*1.1</f>
        <v>4884</v>
      </c>
      <c r="W177" s="79">
        <f>U177-V177</f>
        <v>2816.0000000000009</v>
      </c>
      <c r="X177" s="86">
        <v>2293</v>
      </c>
    </row>
    <row r="178" spans="1:24" ht="12.75" x14ac:dyDescent="0.2">
      <c r="A178" s="710"/>
      <c r="B178" s="14" t="s">
        <v>259</v>
      </c>
      <c r="C178" s="7" t="s">
        <v>92</v>
      </c>
      <c r="D178" s="32" t="s">
        <v>281</v>
      </c>
      <c r="E178" s="5">
        <v>19</v>
      </c>
      <c r="F178" s="3">
        <v>0.16</v>
      </c>
      <c r="G178" s="3"/>
      <c r="H178" s="13">
        <v>0</v>
      </c>
      <c r="I178" s="29">
        <f t="shared" si="38"/>
        <v>0</v>
      </c>
      <c r="J178" s="30">
        <f t="shared" si="39"/>
        <v>0</v>
      </c>
      <c r="K178" s="93">
        <f t="shared" si="31"/>
        <v>14775</v>
      </c>
      <c r="L178" s="93">
        <f t="shared" si="32"/>
        <v>10835</v>
      </c>
      <c r="M178" s="93">
        <f t="shared" si="33"/>
        <v>10342.5</v>
      </c>
      <c r="N178" s="64">
        <v>9850</v>
      </c>
      <c r="O178" s="69">
        <v>7240</v>
      </c>
      <c r="P178" s="62">
        <f t="shared" si="40"/>
        <v>2610</v>
      </c>
      <c r="R178" s="105">
        <f t="shared" si="34"/>
        <v>16252.5</v>
      </c>
      <c r="S178" s="105">
        <f t="shared" si="35"/>
        <v>11918.500000000002</v>
      </c>
      <c r="T178" s="105">
        <f t="shared" si="36"/>
        <v>11376.75</v>
      </c>
      <c r="U178" s="75">
        <f t="shared" si="37"/>
        <v>10835</v>
      </c>
      <c r="V178" s="108">
        <f>O178*1.1</f>
        <v>7964.0000000000009</v>
      </c>
      <c r="W178" s="79">
        <f>U178-V178</f>
        <v>2870.9999999999991</v>
      </c>
      <c r="X178" s="86">
        <v>2293</v>
      </c>
    </row>
    <row r="179" spans="1:24" ht="12.75" x14ac:dyDescent="0.2">
      <c r="A179" s="710"/>
      <c r="B179" s="14" t="s">
        <v>348</v>
      </c>
      <c r="C179" s="7" t="s">
        <v>92</v>
      </c>
      <c r="D179" s="32" t="s">
        <v>281</v>
      </c>
      <c r="E179" s="5">
        <v>19</v>
      </c>
      <c r="F179" s="3">
        <v>0.16</v>
      </c>
      <c r="G179" s="3"/>
      <c r="H179" s="13">
        <v>0</v>
      </c>
      <c r="I179" s="29">
        <f t="shared" si="38"/>
        <v>0</v>
      </c>
      <c r="J179" s="30">
        <f t="shared" si="39"/>
        <v>0</v>
      </c>
      <c r="K179" s="93">
        <f t="shared" si="31"/>
        <v>14775</v>
      </c>
      <c r="L179" s="93">
        <f t="shared" si="32"/>
        <v>10835</v>
      </c>
      <c r="M179" s="93">
        <f t="shared" si="33"/>
        <v>10342.5</v>
      </c>
      <c r="N179" s="64">
        <v>9850</v>
      </c>
      <c r="O179" s="69">
        <v>7290</v>
      </c>
      <c r="P179" s="62">
        <f t="shared" si="40"/>
        <v>2560</v>
      </c>
      <c r="R179" s="105">
        <f t="shared" si="34"/>
        <v>16252.5</v>
      </c>
      <c r="S179" s="105">
        <f t="shared" si="35"/>
        <v>11918.500000000002</v>
      </c>
      <c r="T179" s="105">
        <f t="shared" si="36"/>
        <v>11376.75</v>
      </c>
      <c r="U179" s="75">
        <f t="shared" si="37"/>
        <v>10835</v>
      </c>
      <c r="V179" s="108">
        <f>O179*1.1</f>
        <v>8019.0000000000009</v>
      </c>
      <c r="W179" s="79">
        <f>U179-V179</f>
        <v>2815.9999999999991</v>
      </c>
      <c r="X179" s="86">
        <v>2293</v>
      </c>
    </row>
    <row r="180" spans="1:24" ht="12.75" x14ac:dyDescent="0.2">
      <c r="A180" s="710" t="s">
        <v>142</v>
      </c>
      <c r="B180" s="14" t="s">
        <v>187</v>
      </c>
      <c r="C180" s="7" t="s">
        <v>73</v>
      </c>
      <c r="D180" s="45"/>
      <c r="E180" s="5">
        <v>13.3</v>
      </c>
      <c r="F180" s="3">
        <v>0.09</v>
      </c>
      <c r="G180" s="3">
        <v>10</v>
      </c>
      <c r="H180" s="13">
        <v>0</v>
      </c>
      <c r="I180" s="29">
        <f t="shared" ref="I180:I206" si="41">H180*E180</f>
        <v>0</v>
      </c>
      <c r="J180" s="30">
        <f t="shared" ref="J180:J206" si="42">F180*H180</f>
        <v>0</v>
      </c>
      <c r="K180" s="93">
        <f t="shared" si="31"/>
        <v>3525</v>
      </c>
      <c r="L180" s="93">
        <f t="shared" si="32"/>
        <v>2585</v>
      </c>
      <c r="M180" s="93">
        <f t="shared" si="33"/>
        <v>2467.5</v>
      </c>
      <c r="N180" s="64">
        <v>2350</v>
      </c>
      <c r="O180" s="69"/>
      <c r="P180" s="62">
        <f t="shared" si="40"/>
        <v>2350</v>
      </c>
      <c r="R180" s="105">
        <f t="shared" si="34"/>
        <v>3877.5</v>
      </c>
      <c r="S180" s="105">
        <f t="shared" si="35"/>
        <v>2843.5000000000005</v>
      </c>
      <c r="T180" s="105">
        <f t="shared" si="36"/>
        <v>2714.25</v>
      </c>
      <c r="U180" s="75">
        <f t="shared" si="37"/>
        <v>2585</v>
      </c>
      <c r="V180" s="108"/>
      <c r="W180" s="79"/>
      <c r="X180" s="86"/>
    </row>
    <row r="181" spans="1:24" ht="12.75" x14ac:dyDescent="0.2">
      <c r="A181" s="710"/>
      <c r="B181" s="14" t="s">
        <v>190</v>
      </c>
      <c r="C181" s="7" t="s">
        <v>73</v>
      </c>
      <c r="D181" s="45"/>
      <c r="E181" s="5">
        <v>13.3</v>
      </c>
      <c r="F181" s="3">
        <v>0.09</v>
      </c>
      <c r="G181" s="3">
        <v>10</v>
      </c>
      <c r="H181" s="13">
        <v>0</v>
      </c>
      <c r="I181" s="29">
        <f t="shared" si="41"/>
        <v>0</v>
      </c>
      <c r="J181" s="30">
        <f t="shared" si="42"/>
        <v>0</v>
      </c>
      <c r="K181" s="93">
        <f t="shared" si="31"/>
        <v>3525</v>
      </c>
      <c r="L181" s="93">
        <f t="shared" si="32"/>
        <v>2585</v>
      </c>
      <c r="M181" s="93">
        <f t="shared" si="33"/>
        <v>2467.5</v>
      </c>
      <c r="N181" s="64">
        <v>2350</v>
      </c>
      <c r="O181" s="69"/>
      <c r="P181" s="62">
        <f t="shared" si="40"/>
        <v>2350</v>
      </c>
      <c r="R181" s="105">
        <f t="shared" si="34"/>
        <v>3877.5</v>
      </c>
      <c r="S181" s="105">
        <f t="shared" si="35"/>
        <v>2843.5000000000005</v>
      </c>
      <c r="T181" s="105">
        <f t="shared" si="36"/>
        <v>2714.25</v>
      </c>
      <c r="U181" s="75">
        <f t="shared" si="37"/>
        <v>2585</v>
      </c>
      <c r="V181" s="108"/>
      <c r="W181" s="79"/>
      <c r="X181" s="86"/>
    </row>
    <row r="182" spans="1:24" ht="12.75" x14ac:dyDescent="0.2">
      <c r="A182" s="710"/>
      <c r="B182" s="14" t="s">
        <v>188</v>
      </c>
      <c r="C182" s="7" t="s">
        <v>72</v>
      </c>
      <c r="D182" s="45"/>
      <c r="E182" s="5">
        <v>18</v>
      </c>
      <c r="F182" s="3">
        <v>0.12</v>
      </c>
      <c r="G182" s="3">
        <v>10</v>
      </c>
      <c r="H182" s="13">
        <v>0</v>
      </c>
      <c r="I182" s="29">
        <f t="shared" si="41"/>
        <v>0</v>
      </c>
      <c r="J182" s="30">
        <f t="shared" si="42"/>
        <v>0</v>
      </c>
      <c r="K182" s="93">
        <f t="shared" si="31"/>
        <v>4350</v>
      </c>
      <c r="L182" s="93">
        <f t="shared" si="32"/>
        <v>3190.0000000000005</v>
      </c>
      <c r="M182" s="93">
        <f t="shared" si="33"/>
        <v>3045</v>
      </c>
      <c r="N182" s="64">
        <v>2900</v>
      </c>
      <c r="O182" s="69"/>
      <c r="P182" s="62">
        <f t="shared" si="40"/>
        <v>2900</v>
      </c>
      <c r="R182" s="105">
        <f t="shared" si="34"/>
        <v>4785.0000000000009</v>
      </c>
      <c r="S182" s="105">
        <f t="shared" si="35"/>
        <v>3509.0000000000009</v>
      </c>
      <c r="T182" s="105">
        <f t="shared" si="36"/>
        <v>3349.5000000000005</v>
      </c>
      <c r="U182" s="75">
        <f t="shared" si="37"/>
        <v>3190.0000000000005</v>
      </c>
      <c r="V182" s="108"/>
      <c r="W182" s="79"/>
      <c r="X182" s="86"/>
    </row>
    <row r="183" spans="1:24" ht="12.75" x14ac:dyDescent="0.2">
      <c r="A183" s="710"/>
      <c r="B183" s="14" t="s">
        <v>308</v>
      </c>
      <c r="C183" s="7" t="s">
        <v>72</v>
      </c>
      <c r="D183" s="45"/>
      <c r="E183" s="5">
        <v>18</v>
      </c>
      <c r="F183" s="3">
        <v>0.12</v>
      </c>
      <c r="G183" s="3">
        <v>10</v>
      </c>
      <c r="H183" s="13">
        <v>0</v>
      </c>
      <c r="I183" s="29">
        <f t="shared" si="41"/>
        <v>0</v>
      </c>
      <c r="J183" s="30">
        <f t="shared" si="42"/>
        <v>0</v>
      </c>
      <c r="K183" s="93">
        <f t="shared" si="31"/>
        <v>4350</v>
      </c>
      <c r="L183" s="93">
        <f t="shared" si="32"/>
        <v>3190.0000000000005</v>
      </c>
      <c r="M183" s="93">
        <f t="shared" si="33"/>
        <v>3045</v>
      </c>
      <c r="N183" s="64">
        <v>2900</v>
      </c>
      <c r="O183" s="69"/>
      <c r="P183" s="62">
        <f t="shared" si="40"/>
        <v>2900</v>
      </c>
      <c r="R183" s="105">
        <f t="shared" si="34"/>
        <v>4785.0000000000009</v>
      </c>
      <c r="S183" s="105">
        <f t="shared" si="35"/>
        <v>3509.0000000000009</v>
      </c>
      <c r="T183" s="105">
        <f t="shared" si="36"/>
        <v>3349.5000000000005</v>
      </c>
      <c r="U183" s="75">
        <f t="shared" si="37"/>
        <v>3190.0000000000005</v>
      </c>
      <c r="V183" s="108"/>
      <c r="W183" s="79"/>
      <c r="X183" s="86"/>
    </row>
    <row r="184" spans="1:24" ht="12.75" x14ac:dyDescent="0.2">
      <c r="A184" s="710"/>
      <c r="B184" s="14" t="s">
        <v>186</v>
      </c>
      <c r="C184" s="7" t="s">
        <v>71</v>
      </c>
      <c r="D184" s="45"/>
      <c r="E184" s="5">
        <v>26.5</v>
      </c>
      <c r="F184" s="3">
        <v>0.16</v>
      </c>
      <c r="G184" s="3">
        <v>8</v>
      </c>
      <c r="H184" s="13">
        <v>0</v>
      </c>
      <c r="I184" s="29">
        <f t="shared" si="41"/>
        <v>0</v>
      </c>
      <c r="J184" s="30">
        <f t="shared" si="42"/>
        <v>0</v>
      </c>
      <c r="K184" s="93">
        <f t="shared" si="31"/>
        <v>5925</v>
      </c>
      <c r="L184" s="93">
        <f t="shared" si="32"/>
        <v>4345</v>
      </c>
      <c r="M184" s="93">
        <f t="shared" si="33"/>
        <v>4147.5</v>
      </c>
      <c r="N184" s="64">
        <v>3950</v>
      </c>
      <c r="O184" s="69"/>
      <c r="P184" s="62">
        <f t="shared" si="40"/>
        <v>3950</v>
      </c>
      <c r="R184" s="105">
        <f t="shared" si="34"/>
        <v>6517.5</v>
      </c>
      <c r="S184" s="105">
        <f t="shared" si="35"/>
        <v>4779.5</v>
      </c>
      <c r="T184" s="105">
        <f t="shared" si="36"/>
        <v>4562.25</v>
      </c>
      <c r="U184" s="75">
        <f t="shared" si="37"/>
        <v>4345</v>
      </c>
      <c r="V184" s="108"/>
      <c r="W184" s="79"/>
      <c r="X184" s="86"/>
    </row>
    <row r="185" spans="1:24" ht="12.75" x14ac:dyDescent="0.2">
      <c r="A185" s="710"/>
      <c r="B185" s="14" t="s">
        <v>189</v>
      </c>
      <c r="C185" s="7" t="s">
        <v>71</v>
      </c>
      <c r="D185" s="45"/>
      <c r="E185" s="5">
        <v>26.5</v>
      </c>
      <c r="F185" s="3">
        <v>0.16</v>
      </c>
      <c r="G185" s="3">
        <v>8</v>
      </c>
      <c r="H185" s="13">
        <v>0</v>
      </c>
      <c r="I185" s="29">
        <f t="shared" si="41"/>
        <v>0</v>
      </c>
      <c r="J185" s="30">
        <f t="shared" si="42"/>
        <v>0</v>
      </c>
      <c r="K185" s="93">
        <f t="shared" si="31"/>
        <v>5925</v>
      </c>
      <c r="L185" s="93">
        <f t="shared" si="32"/>
        <v>4345</v>
      </c>
      <c r="M185" s="93">
        <f t="shared" si="33"/>
        <v>4147.5</v>
      </c>
      <c r="N185" s="64">
        <v>3950</v>
      </c>
      <c r="O185" s="69"/>
      <c r="P185" s="62">
        <f t="shared" si="40"/>
        <v>3950</v>
      </c>
      <c r="R185" s="105">
        <f t="shared" si="34"/>
        <v>6517.5</v>
      </c>
      <c r="S185" s="105">
        <f t="shared" si="35"/>
        <v>4779.5</v>
      </c>
      <c r="T185" s="105">
        <f t="shared" si="36"/>
        <v>4562.25</v>
      </c>
      <c r="U185" s="75">
        <f t="shared" si="37"/>
        <v>4345</v>
      </c>
      <c r="V185" s="108"/>
      <c r="W185" s="79"/>
      <c r="X185" s="86"/>
    </row>
    <row r="186" spans="1:24" ht="12.75" x14ac:dyDescent="0.2">
      <c r="A186" s="710"/>
      <c r="B186" s="14" t="s">
        <v>385</v>
      </c>
      <c r="C186" s="7" t="s">
        <v>78</v>
      </c>
      <c r="D186" s="45"/>
      <c r="E186" s="5">
        <v>37.5</v>
      </c>
      <c r="F186" s="3">
        <v>0.25</v>
      </c>
      <c r="G186" s="3">
        <v>6</v>
      </c>
      <c r="H186" s="13">
        <v>0</v>
      </c>
      <c r="I186" s="29">
        <f t="shared" si="41"/>
        <v>0</v>
      </c>
      <c r="J186" s="30">
        <f t="shared" si="42"/>
        <v>0</v>
      </c>
      <c r="K186" s="93">
        <f t="shared" si="31"/>
        <v>7650</v>
      </c>
      <c r="L186" s="93">
        <f t="shared" si="32"/>
        <v>5610</v>
      </c>
      <c r="M186" s="93">
        <f t="shared" si="33"/>
        <v>5355</v>
      </c>
      <c r="N186" s="64">
        <v>5100</v>
      </c>
      <c r="O186" s="69"/>
      <c r="P186" s="62">
        <f t="shared" si="40"/>
        <v>5100</v>
      </c>
      <c r="R186" s="105">
        <f t="shared" si="34"/>
        <v>8415</v>
      </c>
      <c r="S186" s="105">
        <f t="shared" si="35"/>
        <v>6171.0000000000009</v>
      </c>
      <c r="T186" s="105">
        <f t="shared" si="36"/>
        <v>5890.5</v>
      </c>
      <c r="U186" s="75">
        <f t="shared" si="37"/>
        <v>5610</v>
      </c>
      <c r="V186" s="108"/>
      <c r="W186" s="79"/>
      <c r="X186" s="86"/>
    </row>
    <row r="187" spans="1:24" ht="12.75" x14ac:dyDescent="0.2">
      <c r="A187" s="710"/>
      <c r="B187" s="14" t="s">
        <v>387</v>
      </c>
      <c r="C187" s="7" t="s">
        <v>78</v>
      </c>
      <c r="D187" s="45"/>
      <c r="E187" s="5">
        <v>37.5</v>
      </c>
      <c r="F187" s="3">
        <v>0.25</v>
      </c>
      <c r="G187" s="3">
        <v>6</v>
      </c>
      <c r="H187" s="13">
        <v>0</v>
      </c>
      <c r="I187" s="29">
        <f t="shared" si="41"/>
        <v>0</v>
      </c>
      <c r="J187" s="30">
        <f t="shared" si="42"/>
        <v>0</v>
      </c>
      <c r="K187" s="93">
        <f t="shared" si="31"/>
        <v>7650</v>
      </c>
      <c r="L187" s="93">
        <f t="shared" si="32"/>
        <v>5610</v>
      </c>
      <c r="M187" s="93">
        <f t="shared" si="33"/>
        <v>5355</v>
      </c>
      <c r="N187" s="64">
        <v>5100</v>
      </c>
      <c r="O187" s="69"/>
      <c r="P187" s="62">
        <f t="shared" si="40"/>
        <v>5100</v>
      </c>
      <c r="R187" s="105">
        <f t="shared" si="34"/>
        <v>8415</v>
      </c>
      <c r="S187" s="105">
        <f t="shared" si="35"/>
        <v>6171.0000000000009</v>
      </c>
      <c r="T187" s="105">
        <f t="shared" si="36"/>
        <v>5890.5</v>
      </c>
      <c r="U187" s="75">
        <f t="shared" si="37"/>
        <v>5610</v>
      </c>
      <c r="V187" s="108"/>
      <c r="W187" s="79"/>
      <c r="X187" s="86"/>
    </row>
    <row r="188" spans="1:24" ht="12.75" x14ac:dyDescent="0.2">
      <c r="A188" s="710"/>
      <c r="B188" s="14" t="s">
        <v>386</v>
      </c>
      <c r="C188" s="7" t="s">
        <v>78</v>
      </c>
      <c r="D188" s="45"/>
      <c r="E188" s="5">
        <v>39.5</v>
      </c>
      <c r="F188" s="3">
        <v>0.25</v>
      </c>
      <c r="G188" s="3">
        <v>6</v>
      </c>
      <c r="H188" s="13">
        <v>0</v>
      </c>
      <c r="I188" s="29">
        <f t="shared" si="41"/>
        <v>0</v>
      </c>
      <c r="J188" s="30">
        <f t="shared" si="42"/>
        <v>0</v>
      </c>
      <c r="K188" s="93">
        <f t="shared" si="31"/>
        <v>10800</v>
      </c>
      <c r="L188" s="93">
        <f t="shared" si="32"/>
        <v>7920.0000000000009</v>
      </c>
      <c r="M188" s="93">
        <f t="shared" si="33"/>
        <v>7560</v>
      </c>
      <c r="N188" s="64">
        <v>7200</v>
      </c>
      <c r="O188" s="69"/>
      <c r="P188" s="62">
        <f t="shared" si="40"/>
        <v>7200</v>
      </c>
      <c r="R188" s="105">
        <f t="shared" si="34"/>
        <v>11880.000000000002</v>
      </c>
      <c r="S188" s="105">
        <f t="shared" si="35"/>
        <v>8712.0000000000018</v>
      </c>
      <c r="T188" s="105">
        <f t="shared" si="36"/>
        <v>8316.0000000000018</v>
      </c>
      <c r="U188" s="75">
        <f t="shared" si="37"/>
        <v>7920.0000000000009</v>
      </c>
      <c r="V188" s="108"/>
      <c r="W188" s="79"/>
      <c r="X188" s="86"/>
    </row>
    <row r="189" spans="1:24" ht="12.75" x14ac:dyDescent="0.2">
      <c r="A189" s="710"/>
      <c r="B189" s="14" t="s">
        <v>388</v>
      </c>
      <c r="C189" s="7" t="s">
        <v>78</v>
      </c>
      <c r="D189" s="45"/>
      <c r="E189" s="5">
        <v>39.5</v>
      </c>
      <c r="F189" s="3">
        <v>0.25</v>
      </c>
      <c r="G189" s="3">
        <v>6</v>
      </c>
      <c r="H189" s="13">
        <v>0</v>
      </c>
      <c r="I189" s="29">
        <f t="shared" si="41"/>
        <v>0</v>
      </c>
      <c r="J189" s="30">
        <f t="shared" si="42"/>
        <v>0</v>
      </c>
      <c r="K189" s="93">
        <f t="shared" si="31"/>
        <v>10800</v>
      </c>
      <c r="L189" s="93">
        <f t="shared" si="32"/>
        <v>7920.0000000000009</v>
      </c>
      <c r="M189" s="93">
        <f t="shared" si="33"/>
        <v>7560</v>
      </c>
      <c r="N189" s="64">
        <v>7200</v>
      </c>
      <c r="O189" s="69"/>
      <c r="P189" s="62">
        <f t="shared" si="40"/>
        <v>7200</v>
      </c>
      <c r="R189" s="105">
        <f t="shared" si="34"/>
        <v>11880.000000000002</v>
      </c>
      <c r="S189" s="105">
        <f t="shared" si="35"/>
        <v>8712.0000000000018</v>
      </c>
      <c r="T189" s="105">
        <f t="shared" si="36"/>
        <v>8316.0000000000018</v>
      </c>
      <c r="U189" s="75">
        <f t="shared" si="37"/>
        <v>7920.0000000000009</v>
      </c>
      <c r="V189" s="108"/>
      <c r="W189" s="79"/>
      <c r="X189" s="86"/>
    </row>
    <row r="190" spans="1:24" ht="12.75" x14ac:dyDescent="0.2">
      <c r="A190" s="710"/>
      <c r="B190" s="14" t="s">
        <v>389</v>
      </c>
      <c r="C190" s="7" t="s">
        <v>79</v>
      </c>
      <c r="D190" s="45"/>
      <c r="E190" s="5">
        <v>26.5</v>
      </c>
      <c r="F190" s="3">
        <v>0.14000000000000001</v>
      </c>
      <c r="G190" s="3">
        <v>8</v>
      </c>
      <c r="H190" s="13">
        <v>0</v>
      </c>
      <c r="I190" s="29">
        <f t="shared" si="41"/>
        <v>0</v>
      </c>
      <c r="J190" s="30">
        <f t="shared" si="42"/>
        <v>0</v>
      </c>
      <c r="K190" s="93">
        <f t="shared" si="31"/>
        <v>7350</v>
      </c>
      <c r="L190" s="93">
        <f t="shared" si="32"/>
        <v>5390</v>
      </c>
      <c r="M190" s="93">
        <f t="shared" si="33"/>
        <v>5145</v>
      </c>
      <c r="N190" s="64">
        <v>4900</v>
      </c>
      <c r="O190" s="69"/>
      <c r="P190" s="62">
        <f t="shared" si="40"/>
        <v>4900</v>
      </c>
      <c r="R190" s="105">
        <f t="shared" si="34"/>
        <v>8085</v>
      </c>
      <c r="S190" s="105">
        <f t="shared" si="35"/>
        <v>5929.0000000000009</v>
      </c>
      <c r="T190" s="105">
        <f t="shared" si="36"/>
        <v>5659.5</v>
      </c>
      <c r="U190" s="75">
        <f t="shared" si="37"/>
        <v>5390</v>
      </c>
      <c r="V190" s="108"/>
      <c r="W190" s="79"/>
      <c r="X190" s="86"/>
    </row>
    <row r="191" spans="1:24" ht="12.75" x14ac:dyDescent="0.2">
      <c r="A191" s="710"/>
      <c r="B191" s="14" t="s">
        <v>391</v>
      </c>
      <c r="C191" s="7" t="s">
        <v>79</v>
      </c>
      <c r="D191" s="45"/>
      <c r="E191" s="5">
        <v>26.5</v>
      </c>
      <c r="F191" s="3">
        <v>0.14000000000000001</v>
      </c>
      <c r="G191" s="3">
        <v>8</v>
      </c>
      <c r="H191" s="13">
        <v>0</v>
      </c>
      <c r="I191" s="29">
        <f t="shared" si="41"/>
        <v>0</v>
      </c>
      <c r="J191" s="30">
        <f t="shared" si="42"/>
        <v>0</v>
      </c>
      <c r="K191" s="93">
        <f t="shared" si="31"/>
        <v>7350</v>
      </c>
      <c r="L191" s="93">
        <f t="shared" si="32"/>
        <v>5390</v>
      </c>
      <c r="M191" s="93">
        <f t="shared" si="33"/>
        <v>5145</v>
      </c>
      <c r="N191" s="64">
        <v>4900</v>
      </c>
      <c r="O191" s="69"/>
      <c r="P191" s="62">
        <f t="shared" si="40"/>
        <v>4900</v>
      </c>
      <c r="R191" s="105">
        <f t="shared" si="34"/>
        <v>8085</v>
      </c>
      <c r="S191" s="105">
        <f t="shared" si="35"/>
        <v>5929.0000000000009</v>
      </c>
      <c r="T191" s="105">
        <f t="shared" si="36"/>
        <v>5659.5</v>
      </c>
      <c r="U191" s="75">
        <f t="shared" si="37"/>
        <v>5390</v>
      </c>
      <c r="V191" s="108"/>
      <c r="W191" s="79"/>
      <c r="X191" s="86"/>
    </row>
    <row r="192" spans="1:24" ht="12.75" x14ac:dyDescent="0.2">
      <c r="A192" s="710"/>
      <c r="B192" s="14" t="s">
        <v>390</v>
      </c>
      <c r="C192" s="7" t="s">
        <v>79</v>
      </c>
      <c r="D192" s="45"/>
      <c r="E192" s="5">
        <v>26.5</v>
      </c>
      <c r="F192" s="3">
        <v>0.14000000000000001</v>
      </c>
      <c r="G192" s="3">
        <v>8</v>
      </c>
      <c r="H192" s="13">
        <v>0</v>
      </c>
      <c r="I192" s="29">
        <f t="shared" si="41"/>
        <v>0</v>
      </c>
      <c r="J192" s="30">
        <f t="shared" si="42"/>
        <v>0</v>
      </c>
      <c r="K192" s="93">
        <f t="shared" si="31"/>
        <v>7350</v>
      </c>
      <c r="L192" s="93">
        <f t="shared" si="32"/>
        <v>5390</v>
      </c>
      <c r="M192" s="93">
        <f t="shared" si="33"/>
        <v>5145</v>
      </c>
      <c r="N192" s="64">
        <v>4900</v>
      </c>
      <c r="O192" s="69"/>
      <c r="P192" s="62">
        <f t="shared" si="40"/>
        <v>4900</v>
      </c>
      <c r="R192" s="105">
        <f t="shared" si="34"/>
        <v>8085</v>
      </c>
      <c r="S192" s="105">
        <f t="shared" si="35"/>
        <v>5929.0000000000009</v>
      </c>
      <c r="T192" s="105">
        <f t="shared" si="36"/>
        <v>5659.5</v>
      </c>
      <c r="U192" s="75">
        <f t="shared" si="37"/>
        <v>5390</v>
      </c>
      <c r="V192" s="108"/>
      <c r="W192" s="79"/>
      <c r="X192" s="86"/>
    </row>
    <row r="193" spans="1:24" ht="12.75" x14ac:dyDescent="0.2">
      <c r="A193" s="710"/>
      <c r="B193" s="14" t="s">
        <v>392</v>
      </c>
      <c r="C193" s="7" t="s">
        <v>79</v>
      </c>
      <c r="D193" s="45"/>
      <c r="E193" s="5">
        <v>26.5</v>
      </c>
      <c r="F193" s="3">
        <v>0.14000000000000001</v>
      </c>
      <c r="G193" s="3">
        <v>8</v>
      </c>
      <c r="H193" s="13">
        <v>0</v>
      </c>
      <c r="I193" s="29">
        <f t="shared" si="41"/>
        <v>0</v>
      </c>
      <c r="J193" s="30">
        <f t="shared" si="42"/>
        <v>0</v>
      </c>
      <c r="K193" s="93">
        <f t="shared" si="31"/>
        <v>7350</v>
      </c>
      <c r="L193" s="93">
        <f t="shared" si="32"/>
        <v>5390</v>
      </c>
      <c r="M193" s="93">
        <f t="shared" si="33"/>
        <v>5145</v>
      </c>
      <c r="N193" s="64">
        <v>4900</v>
      </c>
      <c r="O193" s="69"/>
      <c r="P193" s="62">
        <f t="shared" si="40"/>
        <v>4900</v>
      </c>
      <c r="R193" s="105">
        <f t="shared" si="34"/>
        <v>8085</v>
      </c>
      <c r="S193" s="105">
        <f t="shared" si="35"/>
        <v>5929.0000000000009</v>
      </c>
      <c r="T193" s="105">
        <f t="shared" si="36"/>
        <v>5659.5</v>
      </c>
      <c r="U193" s="75">
        <f t="shared" si="37"/>
        <v>5390</v>
      </c>
      <c r="V193" s="108"/>
      <c r="W193" s="79"/>
      <c r="X193" s="86"/>
    </row>
    <row r="194" spans="1:24" ht="12.75" x14ac:dyDescent="0.2">
      <c r="A194" s="710"/>
      <c r="B194" s="14" t="s">
        <v>319</v>
      </c>
      <c r="C194" s="7" t="s">
        <v>114</v>
      </c>
      <c r="D194" s="32" t="s">
        <v>296</v>
      </c>
      <c r="E194" s="5">
        <v>20</v>
      </c>
      <c r="F194" s="3">
        <v>0.13</v>
      </c>
      <c r="G194" s="3"/>
      <c r="H194" s="13">
        <v>0</v>
      </c>
      <c r="I194" s="29">
        <f t="shared" si="41"/>
        <v>0</v>
      </c>
      <c r="J194" s="30">
        <f t="shared" si="42"/>
        <v>0</v>
      </c>
      <c r="K194" s="93">
        <f t="shared" si="31"/>
        <v>6450</v>
      </c>
      <c r="L194" s="93">
        <f t="shared" si="32"/>
        <v>4730</v>
      </c>
      <c r="M194" s="93">
        <f t="shared" si="33"/>
        <v>4515</v>
      </c>
      <c r="N194" s="64">
        <v>4300</v>
      </c>
      <c r="O194" s="69">
        <v>2961.4</v>
      </c>
      <c r="P194" s="62">
        <f t="shared" si="40"/>
        <v>1338.6</v>
      </c>
      <c r="R194" s="105">
        <f t="shared" si="34"/>
        <v>7095</v>
      </c>
      <c r="S194" s="105">
        <f t="shared" si="35"/>
        <v>5203</v>
      </c>
      <c r="T194" s="105">
        <f t="shared" si="36"/>
        <v>4966.5</v>
      </c>
      <c r="U194" s="75">
        <f t="shared" si="37"/>
        <v>4730</v>
      </c>
      <c r="V194" s="108">
        <f t="shared" ref="V194:V199" si="43">O194*1.1</f>
        <v>3257.5400000000004</v>
      </c>
      <c r="W194" s="79">
        <f t="shared" ref="W194:W199" si="44">U194-V194</f>
        <v>1472.4599999999996</v>
      </c>
      <c r="X194" s="86">
        <v>1195</v>
      </c>
    </row>
    <row r="195" spans="1:24" ht="12.75" x14ac:dyDescent="0.2">
      <c r="A195" s="710"/>
      <c r="B195" s="14" t="s">
        <v>320</v>
      </c>
      <c r="C195" s="7" t="s">
        <v>114</v>
      </c>
      <c r="D195" s="32" t="s">
        <v>296</v>
      </c>
      <c r="E195" s="5">
        <v>20</v>
      </c>
      <c r="F195" s="3">
        <v>0.13</v>
      </c>
      <c r="G195" s="3"/>
      <c r="H195" s="13">
        <v>0</v>
      </c>
      <c r="I195" s="29">
        <f t="shared" si="41"/>
        <v>0</v>
      </c>
      <c r="J195" s="30">
        <f t="shared" si="42"/>
        <v>0</v>
      </c>
      <c r="K195" s="93">
        <f t="shared" si="31"/>
        <v>6450</v>
      </c>
      <c r="L195" s="93">
        <f t="shared" si="32"/>
        <v>4730</v>
      </c>
      <c r="M195" s="93">
        <f t="shared" si="33"/>
        <v>4515</v>
      </c>
      <c r="N195" s="64">
        <v>4300</v>
      </c>
      <c r="O195" s="69">
        <v>2961.4</v>
      </c>
      <c r="P195" s="62">
        <f t="shared" si="40"/>
        <v>1338.6</v>
      </c>
      <c r="R195" s="105">
        <f t="shared" si="34"/>
        <v>7095</v>
      </c>
      <c r="S195" s="105">
        <f t="shared" si="35"/>
        <v>5203</v>
      </c>
      <c r="T195" s="105">
        <f t="shared" si="36"/>
        <v>4966.5</v>
      </c>
      <c r="U195" s="75">
        <f t="shared" si="37"/>
        <v>4730</v>
      </c>
      <c r="V195" s="108">
        <f t="shared" si="43"/>
        <v>3257.5400000000004</v>
      </c>
      <c r="W195" s="79">
        <f t="shared" si="44"/>
        <v>1472.4599999999996</v>
      </c>
      <c r="X195" s="86">
        <v>1195</v>
      </c>
    </row>
    <row r="196" spans="1:24" ht="12.75" x14ac:dyDescent="0.2">
      <c r="A196" s="710"/>
      <c r="B196" s="14" t="s">
        <v>321</v>
      </c>
      <c r="C196" s="7" t="s">
        <v>113</v>
      </c>
      <c r="D196" s="32" t="s">
        <v>296</v>
      </c>
      <c r="E196" s="5">
        <v>25</v>
      </c>
      <c r="F196" s="3">
        <v>0.18</v>
      </c>
      <c r="G196" s="3"/>
      <c r="H196" s="13">
        <v>0</v>
      </c>
      <c r="I196" s="29">
        <f t="shared" si="41"/>
        <v>0</v>
      </c>
      <c r="J196" s="30">
        <f t="shared" si="42"/>
        <v>0</v>
      </c>
      <c r="K196" s="93">
        <f t="shared" ref="K196:K259" si="45">N196*1.5</f>
        <v>7800</v>
      </c>
      <c r="L196" s="93">
        <f t="shared" ref="L196:L259" si="46">N196*1.1</f>
        <v>5720.0000000000009</v>
      </c>
      <c r="M196" s="93">
        <f t="shared" ref="M196:M259" si="47">N196*1.05</f>
        <v>5460</v>
      </c>
      <c r="N196" s="64">
        <v>5200</v>
      </c>
      <c r="O196" s="69">
        <v>3861.4</v>
      </c>
      <c r="P196" s="62">
        <f t="shared" si="40"/>
        <v>1338.6</v>
      </c>
      <c r="R196" s="105">
        <f t="shared" ref="R196:R259" si="48">U196*1.5</f>
        <v>8580.0000000000018</v>
      </c>
      <c r="S196" s="105">
        <f t="shared" ref="S196:S259" si="49">U196*1.1</f>
        <v>6292.0000000000018</v>
      </c>
      <c r="T196" s="105">
        <f t="shared" ref="T196:T259" si="50">U196*1.05</f>
        <v>6006.0000000000009</v>
      </c>
      <c r="U196" s="75">
        <f t="shared" ref="U196:U259" si="51">N196*1.1</f>
        <v>5720.0000000000009</v>
      </c>
      <c r="V196" s="108">
        <f t="shared" si="43"/>
        <v>4247.5400000000009</v>
      </c>
      <c r="W196" s="79">
        <f t="shared" si="44"/>
        <v>1472.46</v>
      </c>
      <c r="X196" s="86">
        <v>1195</v>
      </c>
    </row>
    <row r="197" spans="1:24" ht="12.75" x14ac:dyDescent="0.2">
      <c r="A197" s="710"/>
      <c r="B197" s="14" t="s">
        <v>322</v>
      </c>
      <c r="C197" s="7" t="s">
        <v>113</v>
      </c>
      <c r="D197" s="32" t="s">
        <v>296</v>
      </c>
      <c r="E197" s="5">
        <v>25</v>
      </c>
      <c r="F197" s="3">
        <v>0.18</v>
      </c>
      <c r="G197" s="3"/>
      <c r="H197" s="13">
        <v>0</v>
      </c>
      <c r="I197" s="29">
        <f t="shared" si="41"/>
        <v>0</v>
      </c>
      <c r="J197" s="30">
        <f t="shared" si="42"/>
        <v>0</v>
      </c>
      <c r="K197" s="93">
        <f t="shared" si="45"/>
        <v>7800</v>
      </c>
      <c r="L197" s="93">
        <f t="shared" si="46"/>
        <v>5720.0000000000009</v>
      </c>
      <c r="M197" s="93">
        <f t="shared" si="47"/>
        <v>5460</v>
      </c>
      <c r="N197" s="64">
        <v>5200</v>
      </c>
      <c r="O197" s="69">
        <v>3861.4</v>
      </c>
      <c r="P197" s="62">
        <f t="shared" si="40"/>
        <v>1338.6</v>
      </c>
      <c r="R197" s="105">
        <f t="shared" si="48"/>
        <v>8580.0000000000018</v>
      </c>
      <c r="S197" s="105">
        <f t="shared" si="49"/>
        <v>6292.0000000000018</v>
      </c>
      <c r="T197" s="105">
        <f t="shared" si="50"/>
        <v>6006.0000000000009</v>
      </c>
      <c r="U197" s="75">
        <f t="shared" si="51"/>
        <v>5720.0000000000009</v>
      </c>
      <c r="V197" s="108">
        <f t="shared" si="43"/>
        <v>4247.5400000000009</v>
      </c>
      <c r="W197" s="79">
        <f t="shared" si="44"/>
        <v>1472.46</v>
      </c>
      <c r="X197" s="86">
        <v>1195</v>
      </c>
    </row>
    <row r="198" spans="1:24" ht="12.75" x14ac:dyDescent="0.2">
      <c r="A198" s="710"/>
      <c r="B198" s="14" t="s">
        <v>260</v>
      </c>
      <c r="C198" s="7" t="s">
        <v>112</v>
      </c>
      <c r="D198" s="32" t="s">
        <v>296</v>
      </c>
      <c r="E198" s="5">
        <v>36.5</v>
      </c>
      <c r="F198" s="3">
        <v>0.25</v>
      </c>
      <c r="G198" s="3"/>
      <c r="H198" s="13">
        <v>0</v>
      </c>
      <c r="I198" s="29">
        <f t="shared" si="41"/>
        <v>0</v>
      </c>
      <c r="J198" s="30">
        <f t="shared" si="42"/>
        <v>0</v>
      </c>
      <c r="K198" s="93">
        <f t="shared" si="45"/>
        <v>9150</v>
      </c>
      <c r="L198" s="93">
        <f t="shared" si="46"/>
        <v>6710.0000000000009</v>
      </c>
      <c r="M198" s="93">
        <f t="shared" si="47"/>
        <v>6405</v>
      </c>
      <c r="N198" s="64">
        <v>6100</v>
      </c>
      <c r="O198" s="69">
        <v>4761.3999999999996</v>
      </c>
      <c r="P198" s="62">
        <f t="shared" si="40"/>
        <v>1338.6000000000004</v>
      </c>
      <c r="R198" s="105">
        <f t="shared" si="48"/>
        <v>10065.000000000002</v>
      </c>
      <c r="S198" s="105">
        <f t="shared" si="49"/>
        <v>7381.0000000000018</v>
      </c>
      <c r="T198" s="105">
        <f t="shared" si="50"/>
        <v>7045.5000000000009</v>
      </c>
      <c r="U198" s="75">
        <f t="shared" si="51"/>
        <v>6710.0000000000009</v>
      </c>
      <c r="V198" s="108">
        <f t="shared" si="43"/>
        <v>5237.54</v>
      </c>
      <c r="W198" s="79">
        <f t="shared" si="44"/>
        <v>1472.4600000000009</v>
      </c>
      <c r="X198" s="86">
        <v>1195</v>
      </c>
    </row>
    <row r="199" spans="1:24" ht="12.75" x14ac:dyDescent="0.2">
      <c r="A199" s="710"/>
      <c r="B199" s="14" t="s">
        <v>323</v>
      </c>
      <c r="C199" s="7" t="s">
        <v>112</v>
      </c>
      <c r="D199" s="32" t="s">
        <v>296</v>
      </c>
      <c r="E199" s="5">
        <v>36.5</v>
      </c>
      <c r="F199" s="3">
        <v>0.25</v>
      </c>
      <c r="G199" s="3"/>
      <c r="H199" s="13">
        <v>0</v>
      </c>
      <c r="I199" s="29">
        <f t="shared" si="41"/>
        <v>0</v>
      </c>
      <c r="J199" s="30">
        <f t="shared" si="42"/>
        <v>0</v>
      </c>
      <c r="K199" s="93">
        <f t="shared" si="45"/>
        <v>9150</v>
      </c>
      <c r="L199" s="93">
        <f t="shared" si="46"/>
        <v>6710.0000000000009</v>
      </c>
      <c r="M199" s="93">
        <f t="shared" si="47"/>
        <v>6405</v>
      </c>
      <c r="N199" s="64">
        <v>6100</v>
      </c>
      <c r="O199" s="69">
        <v>4761.3999999999996</v>
      </c>
      <c r="P199" s="62">
        <f t="shared" si="40"/>
        <v>1338.6000000000004</v>
      </c>
      <c r="R199" s="105">
        <f t="shared" si="48"/>
        <v>10065.000000000002</v>
      </c>
      <c r="S199" s="105">
        <f t="shared" si="49"/>
        <v>7381.0000000000018</v>
      </c>
      <c r="T199" s="105">
        <f t="shared" si="50"/>
        <v>7045.5000000000009</v>
      </c>
      <c r="U199" s="75">
        <f t="shared" si="51"/>
        <v>6710.0000000000009</v>
      </c>
      <c r="V199" s="108">
        <f t="shared" si="43"/>
        <v>5237.54</v>
      </c>
      <c r="W199" s="79">
        <f t="shared" si="44"/>
        <v>1472.4600000000009</v>
      </c>
      <c r="X199" s="86">
        <v>1195</v>
      </c>
    </row>
    <row r="200" spans="1:24" ht="12.75" x14ac:dyDescent="0.2">
      <c r="A200" s="713" t="s">
        <v>346</v>
      </c>
      <c r="B200" s="43" t="s">
        <v>356</v>
      </c>
      <c r="C200" s="35" t="s">
        <v>360</v>
      </c>
      <c r="D200" s="47"/>
      <c r="E200" s="36">
        <v>12.5</v>
      </c>
      <c r="F200" s="3">
        <v>0.09</v>
      </c>
      <c r="G200" s="34">
        <v>10</v>
      </c>
      <c r="H200" s="13">
        <v>0</v>
      </c>
      <c r="I200" s="29">
        <f t="shared" si="41"/>
        <v>0</v>
      </c>
      <c r="J200" s="30">
        <f t="shared" si="42"/>
        <v>0</v>
      </c>
      <c r="K200" s="93">
        <f t="shared" si="45"/>
        <v>6525</v>
      </c>
      <c r="L200" s="93">
        <f t="shared" si="46"/>
        <v>4785</v>
      </c>
      <c r="M200" s="93">
        <f t="shared" si="47"/>
        <v>4567.5</v>
      </c>
      <c r="N200" s="64">
        <v>4350</v>
      </c>
      <c r="O200" s="69"/>
      <c r="P200" s="62">
        <f t="shared" si="40"/>
        <v>4350</v>
      </c>
      <c r="R200" s="105">
        <f t="shared" si="48"/>
        <v>7177.5</v>
      </c>
      <c r="S200" s="105">
        <f t="shared" si="49"/>
        <v>5263.5</v>
      </c>
      <c r="T200" s="105">
        <f t="shared" si="50"/>
        <v>5024.25</v>
      </c>
      <c r="U200" s="75">
        <f t="shared" si="51"/>
        <v>4785</v>
      </c>
      <c r="V200" s="108"/>
      <c r="W200" s="79"/>
      <c r="X200" s="86"/>
    </row>
    <row r="201" spans="1:24" ht="12.75" x14ac:dyDescent="0.2">
      <c r="A201" s="713"/>
      <c r="B201" s="43" t="s">
        <v>357</v>
      </c>
      <c r="C201" s="35" t="s">
        <v>361</v>
      </c>
      <c r="D201" s="47"/>
      <c r="E201" s="36"/>
      <c r="F201" s="34"/>
      <c r="G201" s="34"/>
      <c r="H201" s="13">
        <v>0</v>
      </c>
      <c r="I201" s="29">
        <f t="shared" si="41"/>
        <v>0</v>
      </c>
      <c r="J201" s="30">
        <f t="shared" si="42"/>
        <v>0</v>
      </c>
      <c r="K201" s="93">
        <f t="shared" si="45"/>
        <v>0</v>
      </c>
      <c r="L201" s="93">
        <f t="shared" si="46"/>
        <v>0</v>
      </c>
      <c r="M201" s="93">
        <f t="shared" si="47"/>
        <v>0</v>
      </c>
      <c r="N201" s="64">
        <v>0</v>
      </c>
      <c r="O201" s="69"/>
      <c r="P201" s="62">
        <f t="shared" si="40"/>
        <v>0</v>
      </c>
      <c r="R201" s="105">
        <f t="shared" si="48"/>
        <v>0</v>
      </c>
      <c r="S201" s="105">
        <f t="shared" si="49"/>
        <v>0</v>
      </c>
      <c r="T201" s="105">
        <f t="shared" si="50"/>
        <v>0</v>
      </c>
      <c r="U201" s="75">
        <f t="shared" si="51"/>
        <v>0</v>
      </c>
      <c r="V201" s="108"/>
      <c r="W201" s="79"/>
      <c r="X201" s="86"/>
    </row>
    <row r="202" spans="1:24" s="26" customFormat="1" ht="12.75" x14ac:dyDescent="0.2">
      <c r="A202" s="713"/>
      <c r="B202" s="43" t="s">
        <v>358</v>
      </c>
      <c r="C202" s="35" t="s">
        <v>362</v>
      </c>
      <c r="D202" s="35"/>
      <c r="E202" s="36"/>
      <c r="F202" s="34"/>
      <c r="G202" s="34"/>
      <c r="H202" s="13">
        <v>0</v>
      </c>
      <c r="I202" s="29">
        <f t="shared" si="41"/>
        <v>0</v>
      </c>
      <c r="J202" s="30">
        <f t="shared" si="42"/>
        <v>0</v>
      </c>
      <c r="K202" s="93">
        <f t="shared" si="45"/>
        <v>0</v>
      </c>
      <c r="L202" s="93">
        <f t="shared" si="46"/>
        <v>0</v>
      </c>
      <c r="M202" s="93">
        <f t="shared" si="47"/>
        <v>0</v>
      </c>
      <c r="N202" s="64">
        <v>0</v>
      </c>
      <c r="O202" s="69"/>
      <c r="P202" s="62">
        <f t="shared" si="40"/>
        <v>0</v>
      </c>
      <c r="Q202" s="99"/>
      <c r="R202" s="105">
        <f t="shared" si="48"/>
        <v>0</v>
      </c>
      <c r="S202" s="105">
        <f t="shared" si="49"/>
        <v>0</v>
      </c>
      <c r="T202" s="105">
        <f t="shared" si="50"/>
        <v>0</v>
      </c>
      <c r="U202" s="75">
        <f t="shared" si="51"/>
        <v>0</v>
      </c>
      <c r="V202" s="108"/>
      <c r="W202" s="79"/>
      <c r="X202" s="86"/>
    </row>
    <row r="203" spans="1:24" s="26" customFormat="1" ht="12.75" x14ac:dyDescent="0.2">
      <c r="A203" s="713"/>
      <c r="B203" s="43" t="s">
        <v>359</v>
      </c>
      <c r="C203" s="35" t="s">
        <v>363</v>
      </c>
      <c r="D203" s="35"/>
      <c r="E203" s="36"/>
      <c r="F203" s="34"/>
      <c r="G203" s="34"/>
      <c r="H203" s="13">
        <v>0</v>
      </c>
      <c r="I203" s="29">
        <f t="shared" si="41"/>
        <v>0</v>
      </c>
      <c r="J203" s="30">
        <f t="shared" si="42"/>
        <v>0</v>
      </c>
      <c r="K203" s="93">
        <f t="shared" si="45"/>
        <v>0</v>
      </c>
      <c r="L203" s="93">
        <f t="shared" si="46"/>
        <v>0</v>
      </c>
      <c r="M203" s="93">
        <f t="shared" si="47"/>
        <v>0</v>
      </c>
      <c r="N203" s="64">
        <v>0</v>
      </c>
      <c r="O203" s="69"/>
      <c r="P203" s="62">
        <f t="shared" si="40"/>
        <v>0</v>
      </c>
      <c r="Q203" s="99"/>
      <c r="R203" s="105">
        <f t="shared" si="48"/>
        <v>0</v>
      </c>
      <c r="S203" s="105">
        <f t="shared" si="49"/>
        <v>0</v>
      </c>
      <c r="T203" s="105">
        <f t="shared" si="50"/>
        <v>0</v>
      </c>
      <c r="U203" s="75">
        <f t="shared" si="51"/>
        <v>0</v>
      </c>
      <c r="V203" s="108"/>
      <c r="W203" s="79"/>
      <c r="X203" s="86"/>
    </row>
    <row r="204" spans="1:24" ht="12.75" x14ac:dyDescent="0.2">
      <c r="A204" s="710" t="s">
        <v>159</v>
      </c>
      <c r="B204" s="14" t="s">
        <v>426</v>
      </c>
      <c r="C204" s="7" t="s">
        <v>68</v>
      </c>
      <c r="D204" s="45"/>
      <c r="E204" s="5">
        <v>15.2</v>
      </c>
      <c r="F204" s="3">
        <v>0.09</v>
      </c>
      <c r="G204" s="3">
        <v>10</v>
      </c>
      <c r="H204" s="13">
        <v>0</v>
      </c>
      <c r="I204" s="29">
        <f t="shared" si="41"/>
        <v>0</v>
      </c>
      <c r="J204" s="30">
        <f t="shared" si="42"/>
        <v>0</v>
      </c>
      <c r="K204" s="93">
        <f t="shared" si="45"/>
        <v>2625</v>
      </c>
      <c r="L204" s="93">
        <f t="shared" si="46"/>
        <v>1925.0000000000002</v>
      </c>
      <c r="M204" s="93">
        <f t="shared" si="47"/>
        <v>1837.5</v>
      </c>
      <c r="N204" s="64">
        <v>1750</v>
      </c>
      <c r="O204" s="69"/>
      <c r="P204" s="62">
        <f t="shared" si="40"/>
        <v>1750</v>
      </c>
      <c r="R204" s="105">
        <f t="shared" si="48"/>
        <v>2887.5000000000005</v>
      </c>
      <c r="S204" s="105">
        <f t="shared" si="49"/>
        <v>2117.5000000000005</v>
      </c>
      <c r="T204" s="105">
        <f t="shared" si="50"/>
        <v>2021.2500000000002</v>
      </c>
      <c r="U204" s="75">
        <f t="shared" si="51"/>
        <v>1925.0000000000002</v>
      </c>
      <c r="V204" s="108"/>
      <c r="W204" s="79"/>
      <c r="X204" s="86"/>
    </row>
    <row r="205" spans="1:24" ht="25.5" x14ac:dyDescent="0.2">
      <c r="A205" s="710"/>
      <c r="B205" s="14" t="s">
        <v>261</v>
      </c>
      <c r="C205" s="7" t="s">
        <v>115</v>
      </c>
      <c r="D205" s="32" t="s">
        <v>292</v>
      </c>
      <c r="E205" s="5">
        <v>18.2</v>
      </c>
      <c r="F205" s="3">
        <v>0.17</v>
      </c>
      <c r="G205" s="3"/>
      <c r="H205" s="13">
        <v>0</v>
      </c>
      <c r="I205" s="29">
        <f t="shared" si="41"/>
        <v>0</v>
      </c>
      <c r="J205" s="30">
        <f t="shared" si="42"/>
        <v>0</v>
      </c>
      <c r="K205" s="93">
        <f t="shared" si="45"/>
        <v>5775</v>
      </c>
      <c r="L205" s="93">
        <f t="shared" si="46"/>
        <v>4235</v>
      </c>
      <c r="M205" s="93">
        <f t="shared" si="47"/>
        <v>4042.5</v>
      </c>
      <c r="N205" s="64">
        <v>3850</v>
      </c>
      <c r="O205" s="69">
        <v>2356</v>
      </c>
      <c r="P205" s="62">
        <f t="shared" si="40"/>
        <v>1494</v>
      </c>
      <c r="R205" s="105">
        <f t="shared" si="48"/>
        <v>6352.5</v>
      </c>
      <c r="S205" s="105">
        <f t="shared" si="49"/>
        <v>4658.5</v>
      </c>
      <c r="T205" s="105">
        <f t="shared" si="50"/>
        <v>4446.75</v>
      </c>
      <c r="U205" s="75">
        <f t="shared" si="51"/>
        <v>4235</v>
      </c>
      <c r="V205" s="108">
        <f>O205*1.1</f>
        <v>2591.6000000000004</v>
      </c>
      <c r="W205" s="79">
        <f t="shared" ref="W205:W265" si="52">U205-V205</f>
        <v>1643.3999999999996</v>
      </c>
      <c r="X205" s="86">
        <v>1040</v>
      </c>
    </row>
    <row r="206" spans="1:24" ht="12.75" x14ac:dyDescent="0.2">
      <c r="A206" s="710" t="s">
        <v>143</v>
      </c>
      <c r="B206" s="14" t="s">
        <v>44</v>
      </c>
      <c r="C206" s="7" t="s">
        <v>71</v>
      </c>
      <c r="D206" s="45"/>
      <c r="E206" s="5">
        <v>25.5</v>
      </c>
      <c r="F206" s="3">
        <v>0.16</v>
      </c>
      <c r="G206" s="3">
        <v>8</v>
      </c>
      <c r="H206" s="13">
        <v>0</v>
      </c>
      <c r="I206" s="29">
        <f t="shared" si="41"/>
        <v>0</v>
      </c>
      <c r="J206" s="30">
        <f t="shared" si="42"/>
        <v>0</v>
      </c>
      <c r="K206" s="93">
        <f t="shared" si="45"/>
        <v>6225</v>
      </c>
      <c r="L206" s="93">
        <f t="shared" si="46"/>
        <v>4565</v>
      </c>
      <c r="M206" s="93">
        <f t="shared" si="47"/>
        <v>4357.5</v>
      </c>
      <c r="N206" s="64">
        <v>4150</v>
      </c>
      <c r="O206" s="69"/>
      <c r="P206" s="62">
        <f t="shared" si="40"/>
        <v>4150</v>
      </c>
      <c r="R206" s="105">
        <f t="shared" si="48"/>
        <v>6847.5</v>
      </c>
      <c r="S206" s="105">
        <f t="shared" si="49"/>
        <v>5021.5</v>
      </c>
      <c r="T206" s="105">
        <f t="shared" si="50"/>
        <v>4793.25</v>
      </c>
      <c r="U206" s="75">
        <f t="shared" si="51"/>
        <v>4565</v>
      </c>
      <c r="V206" s="108"/>
      <c r="W206" s="79"/>
      <c r="X206" s="86"/>
    </row>
    <row r="207" spans="1:24" ht="12.75" x14ac:dyDescent="0.2">
      <c r="A207" s="710"/>
      <c r="B207" s="14" t="s">
        <v>401</v>
      </c>
      <c r="C207" s="7" t="s">
        <v>82</v>
      </c>
      <c r="D207" s="7"/>
      <c r="E207" s="5"/>
      <c r="F207" s="3"/>
      <c r="G207" s="3"/>
      <c r="H207" s="13"/>
      <c r="I207" s="29"/>
      <c r="J207" s="63"/>
      <c r="K207" s="93">
        <f t="shared" si="45"/>
        <v>7650</v>
      </c>
      <c r="L207" s="93">
        <f t="shared" si="46"/>
        <v>5610</v>
      </c>
      <c r="M207" s="93">
        <f t="shared" si="47"/>
        <v>5355</v>
      </c>
      <c r="N207" s="64">
        <v>5100</v>
      </c>
      <c r="O207" s="69"/>
      <c r="P207" s="62">
        <f>N207-O207</f>
        <v>5100</v>
      </c>
      <c r="R207" s="105">
        <f t="shared" si="48"/>
        <v>8415</v>
      </c>
      <c r="S207" s="105">
        <f t="shared" si="49"/>
        <v>6171.0000000000009</v>
      </c>
      <c r="T207" s="105">
        <f t="shared" si="50"/>
        <v>5890.5</v>
      </c>
      <c r="U207" s="75">
        <f t="shared" si="51"/>
        <v>5610</v>
      </c>
      <c r="V207" s="108"/>
      <c r="W207" s="79"/>
      <c r="X207" s="86"/>
    </row>
    <row r="208" spans="1:24" ht="12.75" x14ac:dyDescent="0.2">
      <c r="A208" s="710"/>
      <c r="B208" s="14" t="s">
        <v>264</v>
      </c>
      <c r="C208" s="7" t="s">
        <v>112</v>
      </c>
      <c r="D208" s="32" t="s">
        <v>296</v>
      </c>
      <c r="E208" s="5">
        <v>47.2</v>
      </c>
      <c r="F208" s="3">
        <v>0.26</v>
      </c>
      <c r="G208" s="3">
        <v>4</v>
      </c>
      <c r="H208" s="13">
        <v>0</v>
      </c>
      <c r="I208" s="29">
        <f t="shared" ref="I208:I249" si="53">H208*E208</f>
        <v>0</v>
      </c>
      <c r="J208" s="30">
        <f t="shared" ref="J208:J249" si="54">F208*H208</f>
        <v>0</v>
      </c>
      <c r="K208" s="93">
        <f t="shared" si="45"/>
        <v>22200</v>
      </c>
      <c r="L208" s="93">
        <f t="shared" si="46"/>
        <v>16280.000000000002</v>
      </c>
      <c r="M208" s="93">
        <f t="shared" si="47"/>
        <v>15540</v>
      </c>
      <c r="N208" s="64">
        <v>14800</v>
      </c>
      <c r="O208" s="69">
        <v>13461.4</v>
      </c>
      <c r="P208" s="62">
        <f t="shared" si="40"/>
        <v>1338.6000000000004</v>
      </c>
      <c r="R208" s="105">
        <f t="shared" si="48"/>
        <v>24420.000000000004</v>
      </c>
      <c r="S208" s="105">
        <f t="shared" si="49"/>
        <v>17908.000000000004</v>
      </c>
      <c r="T208" s="105">
        <f t="shared" si="50"/>
        <v>17094.000000000004</v>
      </c>
      <c r="U208" s="75">
        <f t="shared" si="51"/>
        <v>16280.000000000002</v>
      </c>
      <c r="V208" s="108">
        <f>O208*1.1</f>
        <v>14807.54</v>
      </c>
      <c r="W208" s="79">
        <f t="shared" si="52"/>
        <v>1472.4600000000009</v>
      </c>
      <c r="X208" s="86">
        <v>1195</v>
      </c>
    </row>
    <row r="209" spans="1:24" ht="12.75" x14ac:dyDescent="0.2">
      <c r="A209" s="710"/>
      <c r="B209" s="14" t="s">
        <v>262</v>
      </c>
      <c r="C209" s="7" t="s">
        <v>112</v>
      </c>
      <c r="D209" s="32" t="s">
        <v>296</v>
      </c>
      <c r="E209" s="5">
        <v>47.2</v>
      </c>
      <c r="F209" s="3">
        <v>0.26</v>
      </c>
      <c r="G209" s="3">
        <v>4</v>
      </c>
      <c r="H209" s="13">
        <v>0</v>
      </c>
      <c r="I209" s="29">
        <f t="shared" si="53"/>
        <v>0</v>
      </c>
      <c r="J209" s="30">
        <f t="shared" si="54"/>
        <v>0</v>
      </c>
      <c r="K209" s="93">
        <f t="shared" si="45"/>
        <v>22200</v>
      </c>
      <c r="L209" s="93">
        <f t="shared" si="46"/>
        <v>16280.000000000002</v>
      </c>
      <c r="M209" s="93">
        <f t="shared" si="47"/>
        <v>15540</v>
      </c>
      <c r="N209" s="64">
        <v>14800</v>
      </c>
      <c r="O209" s="69">
        <v>13461.4</v>
      </c>
      <c r="P209" s="62">
        <f t="shared" si="40"/>
        <v>1338.6000000000004</v>
      </c>
      <c r="R209" s="105">
        <f t="shared" si="48"/>
        <v>24420.000000000004</v>
      </c>
      <c r="S209" s="105">
        <f t="shared" si="49"/>
        <v>17908.000000000004</v>
      </c>
      <c r="T209" s="105">
        <f t="shared" si="50"/>
        <v>17094.000000000004</v>
      </c>
      <c r="U209" s="75">
        <f t="shared" si="51"/>
        <v>16280.000000000002</v>
      </c>
      <c r="V209" s="108">
        <f>O209*1.1</f>
        <v>14807.54</v>
      </c>
      <c r="W209" s="79">
        <f t="shared" si="52"/>
        <v>1472.4600000000009</v>
      </c>
      <c r="X209" s="86">
        <v>1195</v>
      </c>
    </row>
    <row r="210" spans="1:24" ht="12.75" x14ac:dyDescent="0.2">
      <c r="A210" s="710"/>
      <c r="B210" s="14" t="s">
        <v>263</v>
      </c>
      <c r="C210" s="7" t="s">
        <v>112</v>
      </c>
      <c r="D210" s="32" t="s">
        <v>296</v>
      </c>
      <c r="E210" s="5">
        <v>47.2</v>
      </c>
      <c r="F210" s="3">
        <v>0.26</v>
      </c>
      <c r="G210" s="3">
        <v>4</v>
      </c>
      <c r="H210" s="13">
        <v>0</v>
      </c>
      <c r="I210" s="29">
        <f t="shared" si="53"/>
        <v>0</v>
      </c>
      <c r="J210" s="30">
        <f t="shared" si="54"/>
        <v>0</v>
      </c>
      <c r="K210" s="93">
        <f t="shared" si="45"/>
        <v>22200</v>
      </c>
      <c r="L210" s="93">
        <f t="shared" si="46"/>
        <v>16280.000000000002</v>
      </c>
      <c r="M210" s="93">
        <f t="shared" si="47"/>
        <v>15540</v>
      </c>
      <c r="N210" s="64">
        <v>14800</v>
      </c>
      <c r="O210" s="69">
        <v>13461.4</v>
      </c>
      <c r="P210" s="62">
        <f t="shared" si="40"/>
        <v>1338.6000000000004</v>
      </c>
      <c r="R210" s="105">
        <f t="shared" si="48"/>
        <v>24420.000000000004</v>
      </c>
      <c r="S210" s="105">
        <f t="shared" si="49"/>
        <v>17908.000000000004</v>
      </c>
      <c r="T210" s="105">
        <f t="shared" si="50"/>
        <v>17094.000000000004</v>
      </c>
      <c r="U210" s="75">
        <f t="shared" si="51"/>
        <v>16280.000000000002</v>
      </c>
      <c r="V210" s="108">
        <f>O210*1.1</f>
        <v>14807.54</v>
      </c>
      <c r="W210" s="79">
        <f t="shared" si="52"/>
        <v>1472.4600000000009</v>
      </c>
      <c r="X210" s="86">
        <v>1195</v>
      </c>
    </row>
    <row r="211" spans="1:24" ht="12.75" x14ac:dyDescent="0.2">
      <c r="A211" s="710"/>
      <c r="B211" s="14" t="s">
        <v>265</v>
      </c>
      <c r="C211" s="7" t="s">
        <v>112</v>
      </c>
      <c r="D211" s="32" t="s">
        <v>296</v>
      </c>
      <c r="E211" s="5">
        <v>47.2</v>
      </c>
      <c r="F211" s="3">
        <v>0.26</v>
      </c>
      <c r="G211" s="3">
        <v>4</v>
      </c>
      <c r="H211" s="13">
        <v>0</v>
      </c>
      <c r="I211" s="29">
        <f t="shared" si="53"/>
        <v>0</v>
      </c>
      <c r="J211" s="30">
        <f t="shared" si="54"/>
        <v>0</v>
      </c>
      <c r="K211" s="93">
        <f t="shared" si="45"/>
        <v>22200</v>
      </c>
      <c r="L211" s="93">
        <f t="shared" si="46"/>
        <v>16280.000000000002</v>
      </c>
      <c r="M211" s="93">
        <f t="shared" si="47"/>
        <v>15540</v>
      </c>
      <c r="N211" s="64">
        <v>14800</v>
      </c>
      <c r="O211" s="69">
        <v>13461.4</v>
      </c>
      <c r="P211" s="62">
        <f t="shared" si="40"/>
        <v>1338.6000000000004</v>
      </c>
      <c r="R211" s="105">
        <f t="shared" si="48"/>
        <v>24420.000000000004</v>
      </c>
      <c r="S211" s="105">
        <f t="shared" si="49"/>
        <v>17908.000000000004</v>
      </c>
      <c r="T211" s="105">
        <f t="shared" si="50"/>
        <v>17094.000000000004</v>
      </c>
      <c r="U211" s="75">
        <f t="shared" si="51"/>
        <v>16280.000000000002</v>
      </c>
      <c r="V211" s="108">
        <f>O211*1.1</f>
        <v>14807.54</v>
      </c>
      <c r="W211" s="79">
        <f t="shared" si="52"/>
        <v>1472.4600000000009</v>
      </c>
      <c r="X211" s="86">
        <v>1195</v>
      </c>
    </row>
    <row r="212" spans="1:24" ht="12.75" x14ac:dyDescent="0.2">
      <c r="A212" s="710" t="s">
        <v>144</v>
      </c>
      <c r="B212" s="14" t="s">
        <v>310</v>
      </c>
      <c r="C212" s="7" t="s">
        <v>1</v>
      </c>
      <c r="D212" s="45"/>
      <c r="E212" s="5">
        <v>5.8</v>
      </c>
      <c r="F212" s="3">
        <v>7.0000000000000007E-2</v>
      </c>
      <c r="G212" s="3">
        <v>10</v>
      </c>
      <c r="H212" s="13">
        <v>0</v>
      </c>
      <c r="I212" s="29">
        <f t="shared" si="53"/>
        <v>0</v>
      </c>
      <c r="J212" s="30">
        <f t="shared" si="54"/>
        <v>0</v>
      </c>
      <c r="K212" s="93">
        <f t="shared" si="45"/>
        <v>2700</v>
      </c>
      <c r="L212" s="93">
        <f t="shared" si="46"/>
        <v>1980.0000000000002</v>
      </c>
      <c r="M212" s="93">
        <f t="shared" si="47"/>
        <v>1890</v>
      </c>
      <c r="N212" s="64">
        <v>1800</v>
      </c>
      <c r="O212" s="69"/>
      <c r="P212" s="62">
        <f t="shared" si="40"/>
        <v>1800</v>
      </c>
      <c r="R212" s="105">
        <f t="shared" si="48"/>
        <v>2970.0000000000005</v>
      </c>
      <c r="S212" s="105">
        <f t="shared" si="49"/>
        <v>2178.0000000000005</v>
      </c>
      <c r="T212" s="105">
        <f t="shared" si="50"/>
        <v>2079.0000000000005</v>
      </c>
      <c r="U212" s="75">
        <f t="shared" si="51"/>
        <v>1980.0000000000002</v>
      </c>
      <c r="V212" s="108"/>
      <c r="W212" s="79"/>
      <c r="X212" s="86"/>
    </row>
    <row r="213" spans="1:24" ht="12.75" x14ac:dyDescent="0.2">
      <c r="A213" s="710"/>
      <c r="B213" s="14" t="s">
        <v>309</v>
      </c>
      <c r="C213" s="7" t="s">
        <v>1</v>
      </c>
      <c r="D213" s="45"/>
      <c r="E213" s="5">
        <v>5.8</v>
      </c>
      <c r="F213" s="3">
        <v>7.0000000000000007E-2</v>
      </c>
      <c r="G213" s="3">
        <v>10</v>
      </c>
      <c r="H213" s="13">
        <v>0</v>
      </c>
      <c r="I213" s="29">
        <f t="shared" si="53"/>
        <v>0</v>
      </c>
      <c r="J213" s="30">
        <f t="shared" si="54"/>
        <v>0</v>
      </c>
      <c r="K213" s="93">
        <f t="shared" si="45"/>
        <v>3105</v>
      </c>
      <c r="L213" s="93">
        <f t="shared" si="46"/>
        <v>2277</v>
      </c>
      <c r="M213" s="93">
        <f t="shared" si="47"/>
        <v>2173.5</v>
      </c>
      <c r="N213" s="64">
        <v>2070</v>
      </c>
      <c r="O213" s="69"/>
      <c r="P213" s="62">
        <f t="shared" si="40"/>
        <v>2070</v>
      </c>
      <c r="R213" s="105">
        <f t="shared" si="48"/>
        <v>3415.5</v>
      </c>
      <c r="S213" s="105">
        <f t="shared" si="49"/>
        <v>2504.7000000000003</v>
      </c>
      <c r="T213" s="105">
        <f t="shared" si="50"/>
        <v>2390.85</v>
      </c>
      <c r="U213" s="75">
        <f t="shared" si="51"/>
        <v>2277</v>
      </c>
      <c r="V213" s="108"/>
      <c r="W213" s="79"/>
      <c r="X213" s="86"/>
    </row>
    <row r="214" spans="1:24" ht="12.75" x14ac:dyDescent="0.2">
      <c r="A214" s="710"/>
      <c r="B214" s="14" t="s">
        <v>193</v>
      </c>
      <c r="C214" s="7" t="s">
        <v>2</v>
      </c>
      <c r="D214" s="45"/>
      <c r="E214" s="5">
        <v>6.4</v>
      </c>
      <c r="F214" s="3">
        <v>7.0000000000000007E-2</v>
      </c>
      <c r="G214" s="3">
        <v>10</v>
      </c>
      <c r="H214" s="13">
        <v>0</v>
      </c>
      <c r="I214" s="29">
        <f t="shared" si="53"/>
        <v>0</v>
      </c>
      <c r="J214" s="30">
        <f t="shared" si="54"/>
        <v>0</v>
      </c>
      <c r="K214" s="93">
        <f t="shared" si="45"/>
        <v>3225</v>
      </c>
      <c r="L214" s="93">
        <f t="shared" si="46"/>
        <v>2365</v>
      </c>
      <c r="M214" s="93">
        <f t="shared" si="47"/>
        <v>2257.5</v>
      </c>
      <c r="N214" s="64">
        <v>2150</v>
      </c>
      <c r="O214" s="69"/>
      <c r="P214" s="62">
        <f t="shared" si="40"/>
        <v>2150</v>
      </c>
      <c r="R214" s="105">
        <f t="shared" si="48"/>
        <v>3547.5</v>
      </c>
      <c r="S214" s="105">
        <f t="shared" si="49"/>
        <v>2601.5</v>
      </c>
      <c r="T214" s="105">
        <f t="shared" si="50"/>
        <v>2483.25</v>
      </c>
      <c r="U214" s="75">
        <f t="shared" si="51"/>
        <v>2365</v>
      </c>
      <c r="V214" s="108"/>
      <c r="W214" s="79"/>
      <c r="X214" s="86"/>
    </row>
    <row r="215" spans="1:24" ht="12.75" x14ac:dyDescent="0.2">
      <c r="A215" s="710"/>
      <c r="B215" s="14" t="s">
        <v>195</v>
      </c>
      <c r="C215" s="7" t="s">
        <v>2</v>
      </c>
      <c r="D215" s="45"/>
      <c r="E215" s="5">
        <v>6.4</v>
      </c>
      <c r="F215" s="3">
        <v>7.0000000000000007E-2</v>
      </c>
      <c r="G215" s="3">
        <v>10</v>
      </c>
      <c r="H215" s="13">
        <v>0</v>
      </c>
      <c r="I215" s="29">
        <f t="shared" si="53"/>
        <v>0</v>
      </c>
      <c r="J215" s="30">
        <f t="shared" si="54"/>
        <v>0</v>
      </c>
      <c r="K215" s="93">
        <f t="shared" si="45"/>
        <v>3712.5</v>
      </c>
      <c r="L215" s="93">
        <f t="shared" si="46"/>
        <v>2722.5</v>
      </c>
      <c r="M215" s="93">
        <f t="shared" si="47"/>
        <v>2598.75</v>
      </c>
      <c r="N215" s="64">
        <v>2475</v>
      </c>
      <c r="O215" s="69"/>
      <c r="P215" s="62">
        <f t="shared" si="40"/>
        <v>2475</v>
      </c>
      <c r="R215" s="105">
        <f t="shared" si="48"/>
        <v>4083.75</v>
      </c>
      <c r="S215" s="105">
        <f t="shared" si="49"/>
        <v>2994.7500000000005</v>
      </c>
      <c r="T215" s="105">
        <f t="shared" si="50"/>
        <v>2858.625</v>
      </c>
      <c r="U215" s="75">
        <f t="shared" si="51"/>
        <v>2722.5</v>
      </c>
      <c r="V215" s="108"/>
      <c r="W215" s="79"/>
      <c r="X215" s="86"/>
    </row>
    <row r="216" spans="1:24" ht="12.75" x14ac:dyDescent="0.2">
      <c r="A216" s="710"/>
      <c r="B216" s="14" t="s">
        <v>194</v>
      </c>
      <c r="C216" s="7" t="s">
        <v>3</v>
      </c>
      <c r="D216" s="45"/>
      <c r="E216" s="5">
        <v>11.5</v>
      </c>
      <c r="F216" s="3">
        <v>0.09</v>
      </c>
      <c r="G216" s="3">
        <v>10</v>
      </c>
      <c r="H216" s="13">
        <v>0</v>
      </c>
      <c r="I216" s="29">
        <f t="shared" si="53"/>
        <v>0</v>
      </c>
      <c r="J216" s="30">
        <f t="shared" si="54"/>
        <v>0</v>
      </c>
      <c r="K216" s="93">
        <f t="shared" si="45"/>
        <v>3975</v>
      </c>
      <c r="L216" s="93">
        <f t="shared" si="46"/>
        <v>2915.0000000000005</v>
      </c>
      <c r="M216" s="93">
        <f t="shared" si="47"/>
        <v>2782.5</v>
      </c>
      <c r="N216" s="64">
        <v>2650</v>
      </c>
      <c r="O216" s="69"/>
      <c r="P216" s="62">
        <f t="shared" si="40"/>
        <v>2650</v>
      </c>
      <c r="R216" s="105">
        <f t="shared" si="48"/>
        <v>4372.5000000000009</v>
      </c>
      <c r="S216" s="105">
        <f t="shared" si="49"/>
        <v>3206.5000000000009</v>
      </c>
      <c r="T216" s="105">
        <f t="shared" si="50"/>
        <v>3060.7500000000005</v>
      </c>
      <c r="U216" s="75">
        <f t="shared" si="51"/>
        <v>2915.0000000000005</v>
      </c>
      <c r="V216" s="108"/>
      <c r="W216" s="79"/>
      <c r="X216" s="86"/>
    </row>
    <row r="217" spans="1:24" ht="12.75" x14ac:dyDescent="0.2">
      <c r="A217" s="710"/>
      <c r="B217" s="14" t="s">
        <v>196</v>
      </c>
      <c r="C217" s="7" t="s">
        <v>3</v>
      </c>
      <c r="D217" s="45"/>
      <c r="E217" s="5">
        <v>11.5</v>
      </c>
      <c r="F217" s="3">
        <v>0.09</v>
      </c>
      <c r="G217" s="3">
        <v>10</v>
      </c>
      <c r="H217" s="13">
        <v>0</v>
      </c>
      <c r="I217" s="29">
        <f t="shared" si="53"/>
        <v>0</v>
      </c>
      <c r="J217" s="30">
        <f t="shared" si="54"/>
        <v>0</v>
      </c>
      <c r="K217" s="93">
        <f t="shared" si="45"/>
        <v>4575</v>
      </c>
      <c r="L217" s="93">
        <f t="shared" si="46"/>
        <v>3355.0000000000005</v>
      </c>
      <c r="M217" s="93">
        <f t="shared" si="47"/>
        <v>3202.5</v>
      </c>
      <c r="N217" s="64">
        <v>3050</v>
      </c>
      <c r="O217" s="69"/>
      <c r="P217" s="62">
        <f t="shared" si="40"/>
        <v>3050</v>
      </c>
      <c r="R217" s="105">
        <f t="shared" si="48"/>
        <v>5032.5000000000009</v>
      </c>
      <c r="S217" s="105">
        <f t="shared" si="49"/>
        <v>3690.5000000000009</v>
      </c>
      <c r="T217" s="105">
        <f t="shared" si="50"/>
        <v>3522.7500000000005</v>
      </c>
      <c r="U217" s="75">
        <f t="shared" si="51"/>
        <v>3355.0000000000005</v>
      </c>
      <c r="V217" s="108"/>
      <c r="W217" s="79"/>
      <c r="X217" s="86"/>
    </row>
    <row r="218" spans="1:24" ht="12.75" x14ac:dyDescent="0.2">
      <c r="A218" s="710"/>
      <c r="B218" s="14" t="s">
        <v>191</v>
      </c>
      <c r="C218" s="7" t="s">
        <v>4</v>
      </c>
      <c r="D218" s="45"/>
      <c r="E218" s="5">
        <v>11.6</v>
      </c>
      <c r="F218" s="3">
        <v>0.14000000000000001</v>
      </c>
      <c r="G218" s="3">
        <v>10</v>
      </c>
      <c r="H218" s="13">
        <v>0</v>
      </c>
      <c r="I218" s="29">
        <f t="shared" si="53"/>
        <v>0</v>
      </c>
      <c r="J218" s="30">
        <f t="shared" si="54"/>
        <v>0</v>
      </c>
      <c r="K218" s="93">
        <f t="shared" si="45"/>
        <v>5850</v>
      </c>
      <c r="L218" s="93">
        <f t="shared" si="46"/>
        <v>4290</v>
      </c>
      <c r="M218" s="93">
        <f t="shared" si="47"/>
        <v>4095</v>
      </c>
      <c r="N218" s="64">
        <v>3900</v>
      </c>
      <c r="O218" s="69"/>
      <c r="P218" s="62">
        <f t="shared" si="40"/>
        <v>3900</v>
      </c>
      <c r="R218" s="105">
        <f t="shared" si="48"/>
        <v>6435</v>
      </c>
      <c r="S218" s="105">
        <f t="shared" si="49"/>
        <v>4719</v>
      </c>
      <c r="T218" s="105">
        <f t="shared" si="50"/>
        <v>4504.5</v>
      </c>
      <c r="U218" s="75">
        <f t="shared" si="51"/>
        <v>4290</v>
      </c>
      <c r="V218" s="108"/>
      <c r="W218" s="79"/>
      <c r="X218" s="86"/>
    </row>
    <row r="219" spans="1:24" ht="12.75" x14ac:dyDescent="0.2">
      <c r="A219" s="710"/>
      <c r="B219" s="14" t="s">
        <v>197</v>
      </c>
      <c r="C219" s="7" t="s">
        <v>4</v>
      </c>
      <c r="D219" s="45"/>
      <c r="E219" s="5">
        <v>11.6</v>
      </c>
      <c r="F219" s="3">
        <v>0.14000000000000001</v>
      </c>
      <c r="G219" s="3">
        <v>10</v>
      </c>
      <c r="H219" s="13">
        <v>0</v>
      </c>
      <c r="I219" s="29">
        <f t="shared" si="53"/>
        <v>0</v>
      </c>
      <c r="J219" s="30">
        <f t="shared" si="54"/>
        <v>0</v>
      </c>
      <c r="K219" s="93">
        <f t="shared" si="45"/>
        <v>6727.5</v>
      </c>
      <c r="L219" s="93">
        <f t="shared" si="46"/>
        <v>4933.5</v>
      </c>
      <c r="M219" s="93">
        <f t="shared" si="47"/>
        <v>4709.25</v>
      </c>
      <c r="N219" s="64">
        <v>4485</v>
      </c>
      <c r="O219" s="69"/>
      <c r="P219" s="62">
        <f t="shared" si="40"/>
        <v>4485</v>
      </c>
      <c r="R219" s="105">
        <f t="shared" si="48"/>
        <v>7400.25</v>
      </c>
      <c r="S219" s="105">
        <f t="shared" si="49"/>
        <v>5426.85</v>
      </c>
      <c r="T219" s="105">
        <f t="shared" si="50"/>
        <v>5180.1750000000002</v>
      </c>
      <c r="U219" s="75">
        <f t="shared" si="51"/>
        <v>4933.5</v>
      </c>
      <c r="V219" s="108"/>
      <c r="W219" s="79"/>
      <c r="X219" s="86"/>
    </row>
    <row r="220" spans="1:24" ht="12.75" x14ac:dyDescent="0.2">
      <c r="A220" s="710"/>
      <c r="B220" s="14" t="s">
        <v>192</v>
      </c>
      <c r="C220" s="7" t="s">
        <v>5</v>
      </c>
      <c r="D220" s="45"/>
      <c r="E220" s="5">
        <v>14.3</v>
      </c>
      <c r="F220" s="3">
        <v>0.17</v>
      </c>
      <c r="G220" s="3">
        <v>10</v>
      </c>
      <c r="H220" s="13">
        <v>0</v>
      </c>
      <c r="I220" s="29">
        <f t="shared" si="53"/>
        <v>0</v>
      </c>
      <c r="J220" s="30">
        <f t="shared" si="54"/>
        <v>0</v>
      </c>
      <c r="K220" s="93">
        <f t="shared" si="45"/>
        <v>6450</v>
      </c>
      <c r="L220" s="93">
        <f t="shared" si="46"/>
        <v>4730</v>
      </c>
      <c r="M220" s="93">
        <f t="shared" si="47"/>
        <v>4515</v>
      </c>
      <c r="N220" s="64">
        <v>4300</v>
      </c>
      <c r="O220" s="69"/>
      <c r="P220" s="62">
        <f t="shared" ref="P220:P270" si="55">N220-O220</f>
        <v>4300</v>
      </c>
      <c r="R220" s="105">
        <f t="shared" si="48"/>
        <v>7095</v>
      </c>
      <c r="S220" s="105">
        <f t="shared" si="49"/>
        <v>5203</v>
      </c>
      <c r="T220" s="105">
        <f t="shared" si="50"/>
        <v>4966.5</v>
      </c>
      <c r="U220" s="75">
        <f t="shared" si="51"/>
        <v>4730</v>
      </c>
      <c r="V220" s="108"/>
      <c r="W220" s="79"/>
      <c r="X220" s="86"/>
    </row>
    <row r="221" spans="1:24" ht="12.75" x14ac:dyDescent="0.2">
      <c r="A221" s="710"/>
      <c r="B221" s="14" t="s">
        <v>198</v>
      </c>
      <c r="C221" s="7" t="s">
        <v>5</v>
      </c>
      <c r="D221" s="45"/>
      <c r="E221" s="5">
        <v>14.3</v>
      </c>
      <c r="F221" s="3">
        <v>0.17</v>
      </c>
      <c r="G221" s="3">
        <v>10</v>
      </c>
      <c r="H221" s="13">
        <v>0</v>
      </c>
      <c r="I221" s="29">
        <f t="shared" si="53"/>
        <v>0</v>
      </c>
      <c r="J221" s="30">
        <f t="shared" si="54"/>
        <v>0</v>
      </c>
      <c r="K221" s="93">
        <f t="shared" si="45"/>
        <v>7425</v>
      </c>
      <c r="L221" s="93">
        <f t="shared" si="46"/>
        <v>5445</v>
      </c>
      <c r="M221" s="93">
        <f t="shared" si="47"/>
        <v>5197.5</v>
      </c>
      <c r="N221" s="64">
        <v>4950</v>
      </c>
      <c r="O221" s="69"/>
      <c r="P221" s="62">
        <f t="shared" si="55"/>
        <v>4950</v>
      </c>
      <c r="R221" s="105">
        <f t="shared" si="48"/>
        <v>8167.5</v>
      </c>
      <c r="S221" s="105">
        <f t="shared" si="49"/>
        <v>5989.5000000000009</v>
      </c>
      <c r="T221" s="105">
        <f t="shared" si="50"/>
        <v>5717.25</v>
      </c>
      <c r="U221" s="75">
        <f t="shared" si="51"/>
        <v>5445</v>
      </c>
      <c r="V221" s="108"/>
      <c r="W221" s="79"/>
      <c r="X221" s="86"/>
    </row>
    <row r="222" spans="1:24" ht="12.75" x14ac:dyDescent="0.2">
      <c r="A222" s="710"/>
      <c r="B222" s="14" t="s">
        <v>366</v>
      </c>
      <c r="C222" s="7" t="s">
        <v>75</v>
      </c>
      <c r="D222" s="45"/>
      <c r="E222" s="5">
        <v>34.299999999999997</v>
      </c>
      <c r="F222" s="3">
        <v>0.23</v>
      </c>
      <c r="G222" s="3">
        <v>6</v>
      </c>
      <c r="H222" s="13">
        <v>0</v>
      </c>
      <c r="I222" s="29">
        <f t="shared" si="53"/>
        <v>0</v>
      </c>
      <c r="J222" s="30">
        <f t="shared" si="54"/>
        <v>0</v>
      </c>
      <c r="K222" s="93">
        <f t="shared" si="45"/>
        <v>9750</v>
      </c>
      <c r="L222" s="93">
        <f t="shared" si="46"/>
        <v>7150.0000000000009</v>
      </c>
      <c r="M222" s="93">
        <f t="shared" si="47"/>
        <v>6825</v>
      </c>
      <c r="N222" s="64">
        <v>6500</v>
      </c>
      <c r="O222" s="69"/>
      <c r="P222" s="62">
        <f t="shared" si="55"/>
        <v>6500</v>
      </c>
      <c r="R222" s="105">
        <f t="shared" si="48"/>
        <v>10725.000000000002</v>
      </c>
      <c r="S222" s="105">
        <f t="shared" si="49"/>
        <v>7865.0000000000018</v>
      </c>
      <c r="T222" s="105">
        <f t="shared" si="50"/>
        <v>7507.5000000000009</v>
      </c>
      <c r="U222" s="75">
        <f t="shared" si="51"/>
        <v>7150.0000000000009</v>
      </c>
      <c r="V222" s="108"/>
      <c r="W222" s="79"/>
      <c r="X222" s="86"/>
    </row>
    <row r="223" spans="1:24" ht="12.75" x14ac:dyDescent="0.2">
      <c r="A223" s="710"/>
      <c r="B223" s="14" t="s">
        <v>367</v>
      </c>
      <c r="C223" s="7" t="s">
        <v>75</v>
      </c>
      <c r="D223" s="45"/>
      <c r="E223" s="5">
        <v>34.299999999999997</v>
      </c>
      <c r="F223" s="3">
        <v>0.23</v>
      </c>
      <c r="G223" s="3">
        <v>6</v>
      </c>
      <c r="H223" s="13">
        <v>0</v>
      </c>
      <c r="I223" s="29">
        <f t="shared" si="53"/>
        <v>0</v>
      </c>
      <c r="J223" s="30">
        <f t="shared" si="54"/>
        <v>0</v>
      </c>
      <c r="K223" s="93">
        <f t="shared" si="45"/>
        <v>11212.5</v>
      </c>
      <c r="L223" s="93">
        <f t="shared" si="46"/>
        <v>8222.5</v>
      </c>
      <c r="M223" s="93">
        <f t="shared" si="47"/>
        <v>7848.75</v>
      </c>
      <c r="N223" s="64">
        <v>7475</v>
      </c>
      <c r="O223" s="69"/>
      <c r="P223" s="62">
        <f t="shared" si="55"/>
        <v>7475</v>
      </c>
      <c r="R223" s="105">
        <f t="shared" si="48"/>
        <v>12333.75</v>
      </c>
      <c r="S223" s="105">
        <f t="shared" si="49"/>
        <v>9044.75</v>
      </c>
      <c r="T223" s="105">
        <f t="shared" si="50"/>
        <v>8633.625</v>
      </c>
      <c r="U223" s="75">
        <f t="shared" si="51"/>
        <v>8222.5</v>
      </c>
      <c r="V223" s="108"/>
      <c r="W223" s="79"/>
      <c r="X223" s="86"/>
    </row>
    <row r="224" spans="1:24" ht="25.5" x14ac:dyDescent="0.2">
      <c r="A224" s="710"/>
      <c r="B224" s="14" t="s">
        <v>266</v>
      </c>
      <c r="C224" s="7" t="s">
        <v>89</v>
      </c>
      <c r="D224" s="32" t="s">
        <v>285</v>
      </c>
      <c r="E224" s="5">
        <v>15</v>
      </c>
      <c r="F224" s="3">
        <v>0.13</v>
      </c>
      <c r="G224" s="3"/>
      <c r="H224" s="13">
        <v>0</v>
      </c>
      <c r="I224" s="29">
        <f t="shared" si="53"/>
        <v>0</v>
      </c>
      <c r="J224" s="30">
        <f t="shared" si="54"/>
        <v>0</v>
      </c>
      <c r="K224" s="93">
        <f t="shared" si="45"/>
        <v>7200</v>
      </c>
      <c r="L224" s="93">
        <f t="shared" si="46"/>
        <v>5280</v>
      </c>
      <c r="M224" s="93">
        <f t="shared" si="47"/>
        <v>5040</v>
      </c>
      <c r="N224" s="64">
        <v>4800</v>
      </c>
      <c r="O224" s="69">
        <v>3691.4</v>
      </c>
      <c r="P224" s="62">
        <f t="shared" si="55"/>
        <v>1108.5999999999999</v>
      </c>
      <c r="R224" s="105">
        <f t="shared" si="48"/>
        <v>7920</v>
      </c>
      <c r="S224" s="105">
        <f t="shared" si="49"/>
        <v>5808.0000000000009</v>
      </c>
      <c r="T224" s="105">
        <f t="shared" si="50"/>
        <v>5544</v>
      </c>
      <c r="U224" s="75">
        <f t="shared" si="51"/>
        <v>5280</v>
      </c>
      <c r="V224" s="108">
        <f t="shared" ref="V224:V233" si="56">O224*1.1</f>
        <v>4060.5400000000004</v>
      </c>
      <c r="W224" s="79">
        <f t="shared" si="52"/>
        <v>1219.4599999999996</v>
      </c>
      <c r="X224" s="86">
        <v>780</v>
      </c>
    </row>
    <row r="225" spans="1:24" ht="25.5" x14ac:dyDescent="0.2">
      <c r="A225" s="710"/>
      <c r="B225" s="14" t="s">
        <v>271</v>
      </c>
      <c r="C225" s="7" t="s">
        <v>89</v>
      </c>
      <c r="D225" s="32" t="s">
        <v>285</v>
      </c>
      <c r="E225" s="5">
        <v>15</v>
      </c>
      <c r="F225" s="3">
        <v>0.13</v>
      </c>
      <c r="G225" s="3"/>
      <c r="H225" s="13">
        <v>0</v>
      </c>
      <c r="I225" s="29">
        <f t="shared" si="53"/>
        <v>0</v>
      </c>
      <c r="J225" s="30">
        <f t="shared" si="54"/>
        <v>0</v>
      </c>
      <c r="K225" s="93">
        <f t="shared" si="45"/>
        <v>8280</v>
      </c>
      <c r="L225" s="93">
        <f t="shared" si="46"/>
        <v>6072.0000000000009</v>
      </c>
      <c r="M225" s="93">
        <f t="shared" si="47"/>
        <v>5796</v>
      </c>
      <c r="N225" s="64">
        <v>5520</v>
      </c>
      <c r="O225" s="69">
        <v>4411.3999999999996</v>
      </c>
      <c r="P225" s="62">
        <f t="shared" si="55"/>
        <v>1108.6000000000004</v>
      </c>
      <c r="R225" s="105">
        <f t="shared" si="48"/>
        <v>9108.0000000000018</v>
      </c>
      <c r="S225" s="105">
        <f t="shared" si="49"/>
        <v>6679.2000000000016</v>
      </c>
      <c r="T225" s="105">
        <f t="shared" si="50"/>
        <v>6375.6000000000013</v>
      </c>
      <c r="U225" s="75">
        <f t="shared" si="51"/>
        <v>6072.0000000000009</v>
      </c>
      <c r="V225" s="108">
        <f t="shared" si="56"/>
        <v>4852.54</v>
      </c>
      <c r="W225" s="79">
        <f t="shared" si="52"/>
        <v>1219.4600000000009</v>
      </c>
      <c r="X225" s="86">
        <v>780</v>
      </c>
    </row>
    <row r="226" spans="1:24" ht="25.5" x14ac:dyDescent="0.2">
      <c r="A226" s="710"/>
      <c r="B226" s="14" t="s">
        <v>267</v>
      </c>
      <c r="C226" s="7" t="s">
        <v>90</v>
      </c>
      <c r="D226" s="32" t="s">
        <v>286</v>
      </c>
      <c r="E226" s="5">
        <v>17.3</v>
      </c>
      <c r="F226" s="3">
        <v>0.17</v>
      </c>
      <c r="G226" s="3"/>
      <c r="H226" s="13">
        <v>0</v>
      </c>
      <c r="I226" s="29">
        <f t="shared" si="53"/>
        <v>0</v>
      </c>
      <c r="J226" s="30">
        <f t="shared" si="54"/>
        <v>0</v>
      </c>
      <c r="K226" s="93">
        <f t="shared" si="45"/>
        <v>7650</v>
      </c>
      <c r="L226" s="93">
        <f t="shared" si="46"/>
        <v>5610</v>
      </c>
      <c r="M226" s="93">
        <f t="shared" si="47"/>
        <v>5355</v>
      </c>
      <c r="N226" s="64">
        <v>5100</v>
      </c>
      <c r="O226" s="69">
        <v>3946.55</v>
      </c>
      <c r="P226" s="62">
        <f t="shared" si="55"/>
        <v>1153.4499999999998</v>
      </c>
      <c r="R226" s="105">
        <f t="shared" si="48"/>
        <v>8415</v>
      </c>
      <c r="S226" s="105">
        <f t="shared" si="49"/>
        <v>6171.0000000000009</v>
      </c>
      <c r="T226" s="105">
        <f t="shared" si="50"/>
        <v>5890.5</v>
      </c>
      <c r="U226" s="75">
        <f t="shared" si="51"/>
        <v>5610</v>
      </c>
      <c r="V226" s="108">
        <f t="shared" si="56"/>
        <v>4341.2050000000008</v>
      </c>
      <c r="W226" s="79">
        <f t="shared" si="52"/>
        <v>1268.7949999999992</v>
      </c>
      <c r="X226" s="86">
        <v>835</v>
      </c>
    </row>
    <row r="227" spans="1:24" ht="25.5" x14ac:dyDescent="0.2">
      <c r="A227" s="710"/>
      <c r="B227" s="14" t="s">
        <v>272</v>
      </c>
      <c r="C227" s="7" t="s">
        <v>90</v>
      </c>
      <c r="D227" s="32" t="s">
        <v>286</v>
      </c>
      <c r="E227" s="5">
        <v>17.3</v>
      </c>
      <c r="F227" s="3">
        <v>0.17</v>
      </c>
      <c r="G227" s="3"/>
      <c r="H227" s="13">
        <v>0</v>
      </c>
      <c r="I227" s="29">
        <f t="shared" si="53"/>
        <v>0</v>
      </c>
      <c r="J227" s="30">
        <f t="shared" si="54"/>
        <v>0</v>
      </c>
      <c r="K227" s="93">
        <f t="shared" si="45"/>
        <v>8797.5</v>
      </c>
      <c r="L227" s="93">
        <f t="shared" si="46"/>
        <v>6451.5000000000009</v>
      </c>
      <c r="M227" s="93">
        <f t="shared" si="47"/>
        <v>6158.25</v>
      </c>
      <c r="N227" s="64">
        <v>5865</v>
      </c>
      <c r="O227" s="69">
        <v>4711.55</v>
      </c>
      <c r="P227" s="62">
        <f t="shared" si="55"/>
        <v>1153.4499999999998</v>
      </c>
      <c r="R227" s="105">
        <f t="shared" si="48"/>
        <v>9677.2500000000018</v>
      </c>
      <c r="S227" s="105">
        <f t="shared" si="49"/>
        <v>7096.6500000000015</v>
      </c>
      <c r="T227" s="105">
        <f t="shared" si="50"/>
        <v>6774.0750000000016</v>
      </c>
      <c r="U227" s="75">
        <f t="shared" si="51"/>
        <v>6451.5000000000009</v>
      </c>
      <c r="V227" s="108">
        <f t="shared" si="56"/>
        <v>5182.7050000000008</v>
      </c>
      <c r="W227" s="79">
        <f t="shared" si="52"/>
        <v>1268.7950000000001</v>
      </c>
      <c r="X227" s="86">
        <v>835</v>
      </c>
    </row>
    <row r="228" spans="1:24" ht="25.5" x14ac:dyDescent="0.2">
      <c r="A228" s="710"/>
      <c r="B228" s="14" t="s">
        <v>268</v>
      </c>
      <c r="C228" s="7" t="s">
        <v>91</v>
      </c>
      <c r="D228" s="32" t="s">
        <v>287</v>
      </c>
      <c r="E228" s="5">
        <v>24.9</v>
      </c>
      <c r="F228" s="3">
        <v>0.21</v>
      </c>
      <c r="G228" s="3"/>
      <c r="H228" s="13">
        <v>0</v>
      </c>
      <c r="I228" s="29">
        <f t="shared" si="53"/>
        <v>0</v>
      </c>
      <c r="J228" s="30">
        <f t="shared" si="54"/>
        <v>0</v>
      </c>
      <c r="K228" s="93">
        <f t="shared" si="45"/>
        <v>10425</v>
      </c>
      <c r="L228" s="93">
        <f t="shared" si="46"/>
        <v>7645.0000000000009</v>
      </c>
      <c r="M228" s="93">
        <f t="shared" si="47"/>
        <v>7297.5</v>
      </c>
      <c r="N228" s="64">
        <v>6950</v>
      </c>
      <c r="O228" s="69">
        <v>4751.2</v>
      </c>
      <c r="P228" s="62">
        <f t="shared" si="55"/>
        <v>2198.8000000000002</v>
      </c>
      <c r="R228" s="105">
        <f t="shared" si="48"/>
        <v>11467.500000000002</v>
      </c>
      <c r="S228" s="105">
        <f t="shared" si="49"/>
        <v>8409.5000000000018</v>
      </c>
      <c r="T228" s="105">
        <f t="shared" si="50"/>
        <v>8027.2500000000009</v>
      </c>
      <c r="U228" s="75">
        <f t="shared" si="51"/>
        <v>7645.0000000000009</v>
      </c>
      <c r="V228" s="108">
        <f t="shared" si="56"/>
        <v>5226.3200000000006</v>
      </c>
      <c r="W228" s="79">
        <f t="shared" si="52"/>
        <v>2418.6800000000003</v>
      </c>
      <c r="X228" s="86">
        <v>1545.8</v>
      </c>
    </row>
    <row r="229" spans="1:24" ht="25.5" x14ac:dyDescent="0.2">
      <c r="A229" s="710"/>
      <c r="B229" s="14" t="s">
        <v>273</v>
      </c>
      <c r="C229" s="7" t="s">
        <v>91</v>
      </c>
      <c r="D229" s="32" t="s">
        <v>287</v>
      </c>
      <c r="E229" s="5">
        <v>24.9</v>
      </c>
      <c r="F229" s="3">
        <v>0.21</v>
      </c>
      <c r="G229" s="3"/>
      <c r="H229" s="13">
        <v>0</v>
      </c>
      <c r="I229" s="29">
        <f t="shared" si="53"/>
        <v>0</v>
      </c>
      <c r="J229" s="30">
        <f t="shared" si="54"/>
        <v>0</v>
      </c>
      <c r="K229" s="93">
        <f t="shared" si="45"/>
        <v>11992.5</v>
      </c>
      <c r="L229" s="93">
        <f t="shared" si="46"/>
        <v>8794.5</v>
      </c>
      <c r="M229" s="93">
        <f t="shared" si="47"/>
        <v>8394.75</v>
      </c>
      <c r="N229" s="64">
        <v>7995</v>
      </c>
      <c r="O229" s="69">
        <v>5796.2</v>
      </c>
      <c r="P229" s="62">
        <f t="shared" si="55"/>
        <v>2198.8000000000002</v>
      </c>
      <c r="R229" s="105">
        <f t="shared" si="48"/>
        <v>13191.75</v>
      </c>
      <c r="S229" s="105">
        <f t="shared" si="49"/>
        <v>9673.9500000000007</v>
      </c>
      <c r="T229" s="105">
        <f t="shared" si="50"/>
        <v>9234.2250000000004</v>
      </c>
      <c r="U229" s="75">
        <f t="shared" si="51"/>
        <v>8794.5</v>
      </c>
      <c r="V229" s="108">
        <f t="shared" si="56"/>
        <v>6375.8200000000006</v>
      </c>
      <c r="W229" s="79">
        <f t="shared" si="52"/>
        <v>2418.6799999999994</v>
      </c>
      <c r="X229" s="86">
        <v>1545.8</v>
      </c>
    </row>
    <row r="230" spans="1:24" ht="25.5" x14ac:dyDescent="0.2">
      <c r="A230" s="710"/>
      <c r="B230" s="14" t="s">
        <v>269</v>
      </c>
      <c r="C230" s="7" t="s">
        <v>87</v>
      </c>
      <c r="D230" s="32" t="s">
        <v>288</v>
      </c>
      <c r="E230" s="5">
        <v>29</v>
      </c>
      <c r="F230" s="3">
        <v>0.28000000000000003</v>
      </c>
      <c r="G230" s="3"/>
      <c r="H230" s="13">
        <v>0</v>
      </c>
      <c r="I230" s="29">
        <f t="shared" si="53"/>
        <v>0</v>
      </c>
      <c r="J230" s="30">
        <f t="shared" si="54"/>
        <v>0</v>
      </c>
      <c r="K230" s="93">
        <f t="shared" si="45"/>
        <v>12900</v>
      </c>
      <c r="L230" s="93">
        <f t="shared" si="46"/>
        <v>9460</v>
      </c>
      <c r="M230" s="93">
        <f t="shared" si="47"/>
        <v>9030</v>
      </c>
      <c r="N230" s="64">
        <v>8600</v>
      </c>
      <c r="O230" s="69">
        <v>6117.15</v>
      </c>
      <c r="P230" s="62">
        <f t="shared" si="55"/>
        <v>2482.8500000000004</v>
      </c>
      <c r="R230" s="105">
        <f t="shared" si="48"/>
        <v>14190</v>
      </c>
      <c r="S230" s="105">
        <f t="shared" si="49"/>
        <v>10406</v>
      </c>
      <c r="T230" s="105">
        <f t="shared" si="50"/>
        <v>9933</v>
      </c>
      <c r="U230" s="75">
        <f t="shared" si="51"/>
        <v>9460</v>
      </c>
      <c r="V230" s="108">
        <f t="shared" si="56"/>
        <v>6728.8649999999998</v>
      </c>
      <c r="W230" s="79">
        <f t="shared" si="52"/>
        <v>2731.1350000000002</v>
      </c>
      <c r="X230" s="86">
        <v>1745</v>
      </c>
    </row>
    <row r="231" spans="1:24" ht="25.5" x14ac:dyDescent="0.2">
      <c r="A231" s="710"/>
      <c r="B231" s="14" t="s">
        <v>274</v>
      </c>
      <c r="C231" s="7" t="s">
        <v>87</v>
      </c>
      <c r="D231" s="32" t="s">
        <v>288</v>
      </c>
      <c r="E231" s="5">
        <v>29</v>
      </c>
      <c r="F231" s="3">
        <v>0.28000000000000003</v>
      </c>
      <c r="G231" s="3"/>
      <c r="H231" s="13">
        <v>0</v>
      </c>
      <c r="I231" s="29">
        <f t="shared" si="53"/>
        <v>0</v>
      </c>
      <c r="J231" s="30">
        <f t="shared" si="54"/>
        <v>0</v>
      </c>
      <c r="K231" s="93">
        <f t="shared" si="45"/>
        <v>14835</v>
      </c>
      <c r="L231" s="93">
        <f t="shared" si="46"/>
        <v>10879</v>
      </c>
      <c r="M231" s="93">
        <f t="shared" si="47"/>
        <v>10384.5</v>
      </c>
      <c r="N231" s="64">
        <v>9890</v>
      </c>
      <c r="O231" s="69">
        <v>7407.15</v>
      </c>
      <c r="P231" s="62">
        <f t="shared" si="55"/>
        <v>2482.8500000000004</v>
      </c>
      <c r="R231" s="105">
        <f t="shared" si="48"/>
        <v>16318.5</v>
      </c>
      <c r="S231" s="105">
        <f t="shared" si="49"/>
        <v>11966.900000000001</v>
      </c>
      <c r="T231" s="105">
        <f t="shared" si="50"/>
        <v>11422.95</v>
      </c>
      <c r="U231" s="75">
        <f t="shared" si="51"/>
        <v>10879</v>
      </c>
      <c r="V231" s="108">
        <f t="shared" si="56"/>
        <v>8147.8650000000007</v>
      </c>
      <c r="W231" s="79">
        <f t="shared" si="52"/>
        <v>2731.1349999999993</v>
      </c>
      <c r="X231" s="86">
        <v>1745</v>
      </c>
    </row>
    <row r="232" spans="1:24" ht="25.5" x14ac:dyDescent="0.2">
      <c r="A232" s="710"/>
      <c r="B232" s="14" t="s">
        <v>270</v>
      </c>
      <c r="C232" s="7" t="s">
        <v>88</v>
      </c>
      <c r="D232" s="32" t="s">
        <v>289</v>
      </c>
      <c r="E232" s="5">
        <v>34.799999999999997</v>
      </c>
      <c r="F232" s="3">
        <v>0.4</v>
      </c>
      <c r="G232" s="3"/>
      <c r="H232" s="13">
        <v>0</v>
      </c>
      <c r="I232" s="29">
        <f t="shared" si="53"/>
        <v>0</v>
      </c>
      <c r="J232" s="30">
        <f t="shared" si="54"/>
        <v>0</v>
      </c>
      <c r="K232" s="93">
        <f t="shared" si="45"/>
        <v>20700</v>
      </c>
      <c r="L232" s="93">
        <f t="shared" si="46"/>
        <v>15180.000000000002</v>
      </c>
      <c r="M232" s="93">
        <f t="shared" si="47"/>
        <v>14490</v>
      </c>
      <c r="N232" s="64">
        <v>13800</v>
      </c>
      <c r="O232" s="69">
        <v>6896.55</v>
      </c>
      <c r="P232" s="62">
        <f t="shared" si="55"/>
        <v>6903.45</v>
      </c>
      <c r="R232" s="105">
        <f t="shared" si="48"/>
        <v>22770.000000000004</v>
      </c>
      <c r="S232" s="105">
        <f t="shared" si="49"/>
        <v>16698.000000000004</v>
      </c>
      <c r="T232" s="105">
        <f t="shared" si="50"/>
        <v>15939.000000000002</v>
      </c>
      <c r="U232" s="75">
        <f t="shared" si="51"/>
        <v>15180.000000000002</v>
      </c>
      <c r="V232" s="108">
        <f t="shared" si="56"/>
        <v>7586.2050000000008</v>
      </c>
      <c r="W232" s="79">
        <f t="shared" si="52"/>
        <v>7593.795000000001</v>
      </c>
      <c r="X232" s="86">
        <v>6027</v>
      </c>
    </row>
    <row r="233" spans="1:24" ht="25.5" x14ac:dyDescent="0.2">
      <c r="A233" s="710"/>
      <c r="B233" s="14" t="s">
        <v>275</v>
      </c>
      <c r="C233" s="7" t="s">
        <v>88</v>
      </c>
      <c r="D233" s="32" t="s">
        <v>289</v>
      </c>
      <c r="E233" s="5">
        <v>34.799999999999997</v>
      </c>
      <c r="F233" s="3">
        <v>0.4</v>
      </c>
      <c r="G233" s="3"/>
      <c r="H233" s="13">
        <v>0</v>
      </c>
      <c r="I233" s="29">
        <f t="shared" si="53"/>
        <v>0</v>
      </c>
      <c r="J233" s="30">
        <f t="shared" si="54"/>
        <v>0</v>
      </c>
      <c r="K233" s="93">
        <f t="shared" si="45"/>
        <v>23805</v>
      </c>
      <c r="L233" s="93">
        <f t="shared" si="46"/>
        <v>17457</v>
      </c>
      <c r="M233" s="93">
        <f t="shared" si="47"/>
        <v>16663.5</v>
      </c>
      <c r="N233" s="64">
        <v>15870</v>
      </c>
      <c r="O233" s="69">
        <v>8966.5499999999993</v>
      </c>
      <c r="P233" s="62">
        <f t="shared" si="55"/>
        <v>6903.4500000000007</v>
      </c>
      <c r="R233" s="105">
        <f t="shared" si="48"/>
        <v>26185.5</v>
      </c>
      <c r="S233" s="105">
        <f t="shared" si="49"/>
        <v>19202.7</v>
      </c>
      <c r="T233" s="105">
        <f t="shared" si="50"/>
        <v>18329.850000000002</v>
      </c>
      <c r="U233" s="75">
        <f t="shared" si="51"/>
        <v>17457</v>
      </c>
      <c r="V233" s="108">
        <f t="shared" si="56"/>
        <v>9863.2049999999999</v>
      </c>
      <c r="W233" s="79">
        <f t="shared" si="52"/>
        <v>7593.7950000000001</v>
      </c>
      <c r="X233" s="86">
        <v>6027</v>
      </c>
    </row>
    <row r="234" spans="1:24" ht="12.75" x14ac:dyDescent="0.2">
      <c r="A234" s="710" t="s">
        <v>145</v>
      </c>
      <c r="B234" s="14" t="s">
        <v>370</v>
      </c>
      <c r="C234" s="8" t="s">
        <v>13</v>
      </c>
      <c r="D234" s="46"/>
      <c r="E234" s="5">
        <v>16</v>
      </c>
      <c r="F234" s="3">
        <v>0.09</v>
      </c>
      <c r="G234" s="3">
        <v>20</v>
      </c>
      <c r="H234" s="13">
        <v>0</v>
      </c>
      <c r="I234" s="29">
        <f t="shared" si="53"/>
        <v>0</v>
      </c>
      <c r="J234" s="30">
        <f t="shared" si="54"/>
        <v>0</v>
      </c>
      <c r="K234" s="93">
        <f t="shared" si="45"/>
        <v>4125</v>
      </c>
      <c r="L234" s="93">
        <f t="shared" si="46"/>
        <v>3025.0000000000005</v>
      </c>
      <c r="M234" s="93">
        <f t="shared" si="47"/>
        <v>2887.5</v>
      </c>
      <c r="N234" s="64">
        <v>2750</v>
      </c>
      <c r="O234" s="69"/>
      <c r="P234" s="62">
        <f t="shared" si="55"/>
        <v>2750</v>
      </c>
      <c r="R234" s="105">
        <f t="shared" si="48"/>
        <v>4537.5000000000009</v>
      </c>
      <c r="S234" s="105">
        <f t="shared" si="49"/>
        <v>3327.5000000000009</v>
      </c>
      <c r="T234" s="105">
        <f t="shared" si="50"/>
        <v>3176.2500000000005</v>
      </c>
      <c r="U234" s="75">
        <f t="shared" si="51"/>
        <v>3025.0000000000005</v>
      </c>
      <c r="V234" s="108"/>
      <c r="W234" s="79"/>
      <c r="X234" s="86"/>
    </row>
    <row r="235" spans="1:24" ht="12.75" x14ac:dyDescent="0.2">
      <c r="A235" s="710"/>
      <c r="B235" s="14" t="s">
        <v>369</v>
      </c>
      <c r="C235" s="8" t="s">
        <v>13</v>
      </c>
      <c r="D235" s="46"/>
      <c r="E235" s="5">
        <v>16</v>
      </c>
      <c r="F235" s="3">
        <v>0.09</v>
      </c>
      <c r="G235" s="3">
        <v>20</v>
      </c>
      <c r="H235" s="13">
        <v>0</v>
      </c>
      <c r="I235" s="29">
        <f t="shared" si="53"/>
        <v>0</v>
      </c>
      <c r="J235" s="30">
        <f t="shared" si="54"/>
        <v>0</v>
      </c>
      <c r="K235" s="93">
        <f t="shared" si="45"/>
        <v>4125</v>
      </c>
      <c r="L235" s="93">
        <f t="shared" si="46"/>
        <v>3025.0000000000005</v>
      </c>
      <c r="M235" s="93">
        <f t="shared" si="47"/>
        <v>2887.5</v>
      </c>
      <c r="N235" s="64">
        <v>2750</v>
      </c>
      <c r="O235" s="69"/>
      <c r="P235" s="62">
        <f t="shared" si="55"/>
        <v>2750</v>
      </c>
      <c r="R235" s="105">
        <f t="shared" si="48"/>
        <v>4537.5000000000009</v>
      </c>
      <c r="S235" s="105">
        <f t="shared" si="49"/>
        <v>3327.5000000000009</v>
      </c>
      <c r="T235" s="105">
        <f t="shared" si="50"/>
        <v>3176.2500000000005</v>
      </c>
      <c r="U235" s="75">
        <f t="shared" si="51"/>
        <v>3025.0000000000005</v>
      </c>
      <c r="V235" s="108"/>
      <c r="W235" s="79"/>
      <c r="X235" s="86"/>
    </row>
    <row r="236" spans="1:24" ht="12.75" x14ac:dyDescent="0.2">
      <c r="A236" s="710"/>
      <c r="B236" s="14" t="s">
        <v>371</v>
      </c>
      <c r="C236" s="7" t="s">
        <v>75</v>
      </c>
      <c r="D236" s="45"/>
      <c r="E236" s="5">
        <v>33</v>
      </c>
      <c r="F236" s="3">
        <v>0.23</v>
      </c>
      <c r="G236" s="3">
        <v>6</v>
      </c>
      <c r="H236" s="13">
        <v>0</v>
      </c>
      <c r="I236" s="29">
        <f t="shared" si="53"/>
        <v>0</v>
      </c>
      <c r="J236" s="30">
        <f t="shared" si="54"/>
        <v>0</v>
      </c>
      <c r="K236" s="93">
        <f t="shared" si="45"/>
        <v>7800</v>
      </c>
      <c r="L236" s="93">
        <f t="shared" si="46"/>
        <v>5720.0000000000009</v>
      </c>
      <c r="M236" s="93">
        <f t="shared" si="47"/>
        <v>5460</v>
      </c>
      <c r="N236" s="64">
        <v>5200</v>
      </c>
      <c r="O236" s="69"/>
      <c r="P236" s="62">
        <f t="shared" si="55"/>
        <v>5200</v>
      </c>
      <c r="R236" s="105">
        <f t="shared" si="48"/>
        <v>8580.0000000000018</v>
      </c>
      <c r="S236" s="105">
        <f t="shared" si="49"/>
        <v>6292.0000000000018</v>
      </c>
      <c r="T236" s="105">
        <f t="shared" si="50"/>
        <v>6006.0000000000009</v>
      </c>
      <c r="U236" s="75">
        <f t="shared" si="51"/>
        <v>5720.0000000000009</v>
      </c>
      <c r="V236" s="108"/>
      <c r="W236" s="79"/>
      <c r="X236" s="86"/>
    </row>
    <row r="237" spans="1:24" ht="12.75" x14ac:dyDescent="0.2">
      <c r="A237" s="710"/>
      <c r="B237" s="14" t="s">
        <v>372</v>
      </c>
      <c r="C237" s="7" t="s">
        <v>75</v>
      </c>
      <c r="D237" s="45"/>
      <c r="E237" s="5">
        <v>33</v>
      </c>
      <c r="F237" s="3">
        <v>0.23</v>
      </c>
      <c r="G237" s="3">
        <v>6</v>
      </c>
      <c r="H237" s="13">
        <v>0</v>
      </c>
      <c r="I237" s="29">
        <f t="shared" si="53"/>
        <v>0</v>
      </c>
      <c r="J237" s="30">
        <f t="shared" si="54"/>
        <v>0</v>
      </c>
      <c r="K237" s="93">
        <f t="shared" si="45"/>
        <v>7800</v>
      </c>
      <c r="L237" s="93">
        <f t="shared" si="46"/>
        <v>5720.0000000000009</v>
      </c>
      <c r="M237" s="93">
        <f t="shared" si="47"/>
        <v>5460</v>
      </c>
      <c r="N237" s="64">
        <v>5200</v>
      </c>
      <c r="O237" s="69"/>
      <c r="P237" s="62">
        <f t="shared" si="55"/>
        <v>5200</v>
      </c>
      <c r="R237" s="105">
        <f t="shared" si="48"/>
        <v>8580.0000000000018</v>
      </c>
      <c r="S237" s="105">
        <f t="shared" si="49"/>
        <v>6292.0000000000018</v>
      </c>
      <c r="T237" s="105">
        <f t="shared" si="50"/>
        <v>6006.0000000000009</v>
      </c>
      <c r="U237" s="75">
        <f t="shared" si="51"/>
        <v>5720.0000000000009</v>
      </c>
      <c r="V237" s="108"/>
      <c r="W237" s="79"/>
      <c r="X237" s="86"/>
    </row>
    <row r="238" spans="1:24" ht="25.5" x14ac:dyDescent="0.2">
      <c r="A238" s="710"/>
      <c r="B238" s="14" t="s">
        <v>301</v>
      </c>
      <c r="C238" s="7" t="s">
        <v>92</v>
      </c>
      <c r="D238" s="32" t="s">
        <v>291</v>
      </c>
      <c r="E238" s="5">
        <v>16.5</v>
      </c>
      <c r="F238" s="3">
        <v>0.17</v>
      </c>
      <c r="G238" s="3"/>
      <c r="H238" s="13">
        <v>0</v>
      </c>
      <c r="I238" s="29">
        <f t="shared" si="53"/>
        <v>0</v>
      </c>
      <c r="J238" s="30">
        <f t="shared" si="54"/>
        <v>0</v>
      </c>
      <c r="K238" s="93">
        <f t="shared" si="45"/>
        <v>6000</v>
      </c>
      <c r="L238" s="93">
        <f t="shared" si="46"/>
        <v>4400</v>
      </c>
      <c r="M238" s="93">
        <f t="shared" si="47"/>
        <v>4200</v>
      </c>
      <c r="N238" s="64">
        <v>4000</v>
      </c>
      <c r="O238" s="69">
        <v>2893.7</v>
      </c>
      <c r="P238" s="62">
        <f t="shared" si="55"/>
        <v>1106.3000000000002</v>
      </c>
      <c r="R238" s="105">
        <f t="shared" si="48"/>
        <v>6600</v>
      </c>
      <c r="S238" s="105">
        <f t="shared" si="49"/>
        <v>4840</v>
      </c>
      <c r="T238" s="105">
        <f t="shared" si="50"/>
        <v>4620</v>
      </c>
      <c r="U238" s="75">
        <f t="shared" si="51"/>
        <v>4400</v>
      </c>
      <c r="V238" s="108">
        <f>O238*1.1</f>
        <v>3183.07</v>
      </c>
      <c r="W238" s="79">
        <f t="shared" si="52"/>
        <v>1216.9299999999998</v>
      </c>
      <c r="X238" s="86">
        <v>777.2</v>
      </c>
    </row>
    <row r="239" spans="1:24" ht="25.5" x14ac:dyDescent="0.2">
      <c r="A239" s="710"/>
      <c r="B239" s="14" t="s">
        <v>302</v>
      </c>
      <c r="C239" s="7" t="s">
        <v>92</v>
      </c>
      <c r="D239" s="32" t="s">
        <v>291</v>
      </c>
      <c r="E239" s="5">
        <v>16.5</v>
      </c>
      <c r="F239" s="3">
        <v>0.17</v>
      </c>
      <c r="G239" s="3"/>
      <c r="H239" s="13">
        <v>0</v>
      </c>
      <c r="I239" s="29">
        <f t="shared" si="53"/>
        <v>0</v>
      </c>
      <c r="J239" s="30">
        <f t="shared" si="54"/>
        <v>0</v>
      </c>
      <c r="K239" s="93">
        <f t="shared" si="45"/>
        <v>6000</v>
      </c>
      <c r="L239" s="93">
        <f t="shared" si="46"/>
        <v>4400</v>
      </c>
      <c r="M239" s="93">
        <f t="shared" si="47"/>
        <v>4200</v>
      </c>
      <c r="N239" s="64">
        <v>4000</v>
      </c>
      <c r="O239" s="69">
        <v>3093.7</v>
      </c>
      <c r="P239" s="62">
        <f t="shared" si="55"/>
        <v>906.30000000000018</v>
      </c>
      <c r="R239" s="105">
        <f t="shared" si="48"/>
        <v>6600</v>
      </c>
      <c r="S239" s="105">
        <f t="shared" si="49"/>
        <v>4840</v>
      </c>
      <c r="T239" s="105">
        <f t="shared" si="50"/>
        <v>4620</v>
      </c>
      <c r="U239" s="75">
        <f t="shared" si="51"/>
        <v>4400</v>
      </c>
      <c r="V239" s="108">
        <f>O239*1.1</f>
        <v>3403.07</v>
      </c>
      <c r="W239" s="79">
        <f t="shared" si="52"/>
        <v>996.92999999999984</v>
      </c>
      <c r="X239" s="86">
        <v>777.2</v>
      </c>
    </row>
    <row r="240" spans="1:24" ht="12.75" x14ac:dyDescent="0.2">
      <c r="A240" s="710" t="s">
        <v>160</v>
      </c>
      <c r="B240" s="14" t="s">
        <v>415</v>
      </c>
      <c r="C240" s="7" t="s">
        <v>74</v>
      </c>
      <c r="D240" s="45"/>
      <c r="E240" s="5">
        <v>13</v>
      </c>
      <c r="F240" s="3">
        <v>0.1</v>
      </c>
      <c r="G240" s="3">
        <v>10</v>
      </c>
      <c r="H240" s="13">
        <v>0</v>
      </c>
      <c r="I240" s="29">
        <f t="shared" si="53"/>
        <v>0</v>
      </c>
      <c r="J240" s="30">
        <f t="shared" si="54"/>
        <v>0</v>
      </c>
      <c r="K240" s="93">
        <f t="shared" si="45"/>
        <v>2370</v>
      </c>
      <c r="L240" s="93">
        <f t="shared" si="46"/>
        <v>1738.0000000000002</v>
      </c>
      <c r="M240" s="93">
        <f t="shared" si="47"/>
        <v>1659</v>
      </c>
      <c r="N240" s="64">
        <v>1580</v>
      </c>
      <c r="O240" s="69"/>
      <c r="P240" s="62">
        <f t="shared" si="55"/>
        <v>1580</v>
      </c>
      <c r="R240" s="105">
        <f t="shared" si="48"/>
        <v>2607.0000000000005</v>
      </c>
      <c r="S240" s="105">
        <f t="shared" si="49"/>
        <v>1911.8000000000004</v>
      </c>
      <c r="T240" s="105">
        <f t="shared" si="50"/>
        <v>1824.9000000000003</v>
      </c>
      <c r="U240" s="75">
        <f t="shared" si="51"/>
        <v>1738.0000000000002</v>
      </c>
      <c r="V240" s="108"/>
      <c r="W240" s="79"/>
      <c r="X240" s="86"/>
    </row>
    <row r="241" spans="1:24" ht="12.75" x14ac:dyDescent="0.2">
      <c r="A241" s="710"/>
      <c r="B241" s="14" t="s">
        <v>416</v>
      </c>
      <c r="C241" s="7" t="s">
        <v>74</v>
      </c>
      <c r="D241" s="45"/>
      <c r="E241" s="5">
        <v>13</v>
      </c>
      <c r="F241" s="3">
        <v>0.1</v>
      </c>
      <c r="G241" s="3">
        <v>10</v>
      </c>
      <c r="H241" s="13">
        <v>0</v>
      </c>
      <c r="I241" s="29">
        <f t="shared" si="53"/>
        <v>0</v>
      </c>
      <c r="J241" s="30">
        <f t="shared" si="54"/>
        <v>0</v>
      </c>
      <c r="K241" s="93">
        <f t="shared" si="45"/>
        <v>2370</v>
      </c>
      <c r="L241" s="93">
        <f t="shared" si="46"/>
        <v>1738.0000000000002</v>
      </c>
      <c r="M241" s="93">
        <f t="shared" si="47"/>
        <v>1659</v>
      </c>
      <c r="N241" s="64">
        <v>1580</v>
      </c>
      <c r="O241" s="69"/>
      <c r="P241" s="62">
        <f t="shared" si="55"/>
        <v>1580</v>
      </c>
      <c r="R241" s="105">
        <f t="shared" si="48"/>
        <v>2607.0000000000005</v>
      </c>
      <c r="S241" s="105">
        <f t="shared" si="49"/>
        <v>1911.8000000000004</v>
      </c>
      <c r="T241" s="105">
        <f t="shared" si="50"/>
        <v>1824.9000000000003</v>
      </c>
      <c r="U241" s="75">
        <f t="shared" si="51"/>
        <v>1738.0000000000002</v>
      </c>
      <c r="V241" s="108"/>
      <c r="W241" s="79"/>
      <c r="X241" s="86"/>
    </row>
    <row r="242" spans="1:24" ht="12.75" x14ac:dyDescent="0.2">
      <c r="A242" s="710"/>
      <c r="B242" s="14" t="s">
        <v>417</v>
      </c>
      <c r="C242" s="7" t="s">
        <v>74</v>
      </c>
      <c r="D242" s="45"/>
      <c r="E242" s="5">
        <v>13</v>
      </c>
      <c r="F242" s="3">
        <v>0.1</v>
      </c>
      <c r="G242" s="3">
        <v>10</v>
      </c>
      <c r="H242" s="13">
        <v>0</v>
      </c>
      <c r="I242" s="29">
        <f t="shared" si="53"/>
        <v>0</v>
      </c>
      <c r="J242" s="30">
        <f t="shared" si="54"/>
        <v>0</v>
      </c>
      <c r="K242" s="93">
        <f t="shared" si="45"/>
        <v>2370</v>
      </c>
      <c r="L242" s="93">
        <f t="shared" si="46"/>
        <v>1738.0000000000002</v>
      </c>
      <c r="M242" s="93">
        <f t="shared" si="47"/>
        <v>1659</v>
      </c>
      <c r="N242" s="64">
        <v>1580</v>
      </c>
      <c r="O242" s="69"/>
      <c r="P242" s="62">
        <f t="shared" si="55"/>
        <v>1580</v>
      </c>
      <c r="R242" s="105">
        <f t="shared" si="48"/>
        <v>2607.0000000000005</v>
      </c>
      <c r="S242" s="105">
        <f t="shared" si="49"/>
        <v>1911.8000000000004</v>
      </c>
      <c r="T242" s="105">
        <f t="shared" si="50"/>
        <v>1824.9000000000003</v>
      </c>
      <c r="U242" s="75">
        <f t="shared" si="51"/>
        <v>1738.0000000000002</v>
      </c>
      <c r="V242" s="108"/>
      <c r="W242" s="79"/>
      <c r="X242" s="86"/>
    </row>
    <row r="243" spans="1:24" ht="12.75" x14ac:dyDescent="0.2">
      <c r="A243" s="710"/>
      <c r="B243" s="14" t="s">
        <v>418</v>
      </c>
      <c r="C243" s="7" t="s">
        <v>74</v>
      </c>
      <c r="D243" s="45"/>
      <c r="E243" s="5">
        <v>13</v>
      </c>
      <c r="F243" s="3">
        <v>0.1</v>
      </c>
      <c r="G243" s="3">
        <v>10</v>
      </c>
      <c r="H243" s="13">
        <v>0</v>
      </c>
      <c r="I243" s="29">
        <f t="shared" si="53"/>
        <v>0</v>
      </c>
      <c r="J243" s="30">
        <f t="shared" si="54"/>
        <v>0</v>
      </c>
      <c r="K243" s="93">
        <f t="shared" si="45"/>
        <v>2370</v>
      </c>
      <c r="L243" s="93">
        <f t="shared" si="46"/>
        <v>1738.0000000000002</v>
      </c>
      <c r="M243" s="93">
        <f t="shared" si="47"/>
        <v>1659</v>
      </c>
      <c r="N243" s="64">
        <v>1580</v>
      </c>
      <c r="O243" s="69"/>
      <c r="P243" s="62">
        <f t="shared" si="55"/>
        <v>1580</v>
      </c>
      <c r="R243" s="105">
        <f t="shared" si="48"/>
        <v>2607.0000000000005</v>
      </c>
      <c r="S243" s="105">
        <f t="shared" si="49"/>
        <v>1911.8000000000004</v>
      </c>
      <c r="T243" s="105">
        <f t="shared" si="50"/>
        <v>1824.9000000000003</v>
      </c>
      <c r="U243" s="75">
        <f t="shared" si="51"/>
        <v>1738.0000000000002</v>
      </c>
      <c r="V243" s="108"/>
      <c r="W243" s="79"/>
      <c r="X243" s="86"/>
    </row>
    <row r="244" spans="1:24" ht="12.75" x14ac:dyDescent="0.2">
      <c r="A244" s="710"/>
      <c r="B244" s="14" t="s">
        <v>419</v>
      </c>
      <c r="C244" s="7" t="s">
        <v>74</v>
      </c>
      <c r="D244" s="45"/>
      <c r="E244" s="5">
        <v>13</v>
      </c>
      <c r="F244" s="3">
        <v>0.1</v>
      </c>
      <c r="G244" s="3">
        <v>10</v>
      </c>
      <c r="H244" s="13">
        <v>0</v>
      </c>
      <c r="I244" s="29">
        <f t="shared" si="53"/>
        <v>0</v>
      </c>
      <c r="J244" s="30">
        <f t="shared" si="54"/>
        <v>0</v>
      </c>
      <c r="K244" s="93">
        <f t="shared" si="45"/>
        <v>2370</v>
      </c>
      <c r="L244" s="93">
        <f t="shared" si="46"/>
        <v>1738.0000000000002</v>
      </c>
      <c r="M244" s="93">
        <f t="shared" si="47"/>
        <v>1659</v>
      </c>
      <c r="N244" s="64">
        <v>1580</v>
      </c>
      <c r="O244" s="69"/>
      <c r="P244" s="62">
        <f t="shared" si="55"/>
        <v>1580</v>
      </c>
      <c r="R244" s="105">
        <f t="shared" si="48"/>
        <v>2607.0000000000005</v>
      </c>
      <c r="S244" s="105">
        <f t="shared" si="49"/>
        <v>1911.8000000000004</v>
      </c>
      <c r="T244" s="105">
        <f t="shared" si="50"/>
        <v>1824.9000000000003</v>
      </c>
      <c r="U244" s="75">
        <f t="shared" si="51"/>
        <v>1738.0000000000002</v>
      </c>
      <c r="V244" s="108"/>
      <c r="W244" s="79"/>
      <c r="X244" s="86"/>
    </row>
    <row r="245" spans="1:24" ht="25.5" x14ac:dyDescent="0.2">
      <c r="A245" s="710"/>
      <c r="B245" s="14" t="s">
        <v>276</v>
      </c>
      <c r="C245" s="7" t="s">
        <v>104</v>
      </c>
      <c r="D245" s="32" t="s">
        <v>285</v>
      </c>
      <c r="E245" s="5">
        <v>14</v>
      </c>
      <c r="F245" s="3">
        <v>0.12</v>
      </c>
      <c r="G245" s="3"/>
      <c r="H245" s="13">
        <v>0</v>
      </c>
      <c r="I245" s="29">
        <f t="shared" si="53"/>
        <v>0</v>
      </c>
      <c r="J245" s="30">
        <f t="shared" si="54"/>
        <v>0</v>
      </c>
      <c r="K245" s="93">
        <f t="shared" si="45"/>
        <v>4200</v>
      </c>
      <c r="L245" s="93">
        <f t="shared" si="46"/>
        <v>3080.0000000000005</v>
      </c>
      <c r="M245" s="93">
        <f t="shared" si="47"/>
        <v>2940</v>
      </c>
      <c r="N245" s="64">
        <v>2800</v>
      </c>
      <c r="O245" s="69">
        <v>1691.4</v>
      </c>
      <c r="P245" s="62">
        <f t="shared" si="55"/>
        <v>1108.5999999999999</v>
      </c>
      <c r="R245" s="105">
        <f t="shared" si="48"/>
        <v>4620.0000000000009</v>
      </c>
      <c r="S245" s="105">
        <f t="shared" si="49"/>
        <v>3388.0000000000009</v>
      </c>
      <c r="T245" s="105">
        <f t="shared" si="50"/>
        <v>3234.0000000000005</v>
      </c>
      <c r="U245" s="75">
        <f t="shared" si="51"/>
        <v>3080.0000000000005</v>
      </c>
      <c r="V245" s="108">
        <f t="shared" ref="V245:V270" si="57">O245*1.1</f>
        <v>1860.5400000000002</v>
      </c>
      <c r="W245" s="79">
        <f t="shared" si="52"/>
        <v>1219.4600000000003</v>
      </c>
      <c r="X245" s="86">
        <v>780</v>
      </c>
    </row>
    <row r="246" spans="1:24" ht="25.5" x14ac:dyDescent="0.2">
      <c r="A246" s="710"/>
      <c r="B246" s="14" t="s">
        <v>277</v>
      </c>
      <c r="C246" s="7" t="s">
        <v>104</v>
      </c>
      <c r="D246" s="32" t="s">
        <v>285</v>
      </c>
      <c r="E246" s="5">
        <v>14</v>
      </c>
      <c r="F246" s="3">
        <v>0.12</v>
      </c>
      <c r="G246" s="3"/>
      <c r="H246" s="13">
        <v>0</v>
      </c>
      <c r="I246" s="29">
        <f t="shared" si="53"/>
        <v>0</v>
      </c>
      <c r="J246" s="30">
        <f t="shared" si="54"/>
        <v>0</v>
      </c>
      <c r="K246" s="93">
        <f t="shared" si="45"/>
        <v>4200</v>
      </c>
      <c r="L246" s="93">
        <f t="shared" si="46"/>
        <v>3080.0000000000005</v>
      </c>
      <c r="M246" s="93">
        <f t="shared" si="47"/>
        <v>2940</v>
      </c>
      <c r="N246" s="64">
        <v>2800</v>
      </c>
      <c r="O246" s="69">
        <v>1691.4</v>
      </c>
      <c r="P246" s="62">
        <f t="shared" si="55"/>
        <v>1108.5999999999999</v>
      </c>
      <c r="R246" s="105">
        <f t="shared" si="48"/>
        <v>4620.0000000000009</v>
      </c>
      <c r="S246" s="105">
        <f t="shared" si="49"/>
        <v>3388.0000000000009</v>
      </c>
      <c r="T246" s="105">
        <f t="shared" si="50"/>
        <v>3234.0000000000005</v>
      </c>
      <c r="U246" s="75">
        <f t="shared" si="51"/>
        <v>3080.0000000000005</v>
      </c>
      <c r="V246" s="108">
        <f t="shared" si="57"/>
        <v>1860.5400000000002</v>
      </c>
      <c r="W246" s="79">
        <f t="shared" si="52"/>
        <v>1219.4600000000003</v>
      </c>
      <c r="X246" s="86">
        <v>780</v>
      </c>
    </row>
    <row r="247" spans="1:24" ht="25.5" x14ac:dyDescent="0.2">
      <c r="A247" s="710"/>
      <c r="B247" s="14" t="s">
        <v>278</v>
      </c>
      <c r="C247" s="7" t="s">
        <v>104</v>
      </c>
      <c r="D247" s="32" t="s">
        <v>285</v>
      </c>
      <c r="E247" s="5">
        <v>14</v>
      </c>
      <c r="F247" s="3">
        <v>0.12</v>
      </c>
      <c r="G247" s="3"/>
      <c r="H247" s="13">
        <v>0</v>
      </c>
      <c r="I247" s="29">
        <f t="shared" si="53"/>
        <v>0</v>
      </c>
      <c r="J247" s="30">
        <f t="shared" si="54"/>
        <v>0</v>
      </c>
      <c r="K247" s="93">
        <f t="shared" si="45"/>
        <v>4200</v>
      </c>
      <c r="L247" s="93">
        <f t="shared" si="46"/>
        <v>3080.0000000000005</v>
      </c>
      <c r="M247" s="93">
        <f t="shared" si="47"/>
        <v>2940</v>
      </c>
      <c r="N247" s="64">
        <v>2800</v>
      </c>
      <c r="O247" s="69">
        <v>1691.4</v>
      </c>
      <c r="P247" s="62">
        <f t="shared" si="55"/>
        <v>1108.5999999999999</v>
      </c>
      <c r="R247" s="105">
        <f t="shared" si="48"/>
        <v>4620.0000000000009</v>
      </c>
      <c r="S247" s="105">
        <f t="shared" si="49"/>
        <v>3388.0000000000009</v>
      </c>
      <c r="T247" s="105">
        <f t="shared" si="50"/>
        <v>3234.0000000000005</v>
      </c>
      <c r="U247" s="75">
        <f t="shared" si="51"/>
        <v>3080.0000000000005</v>
      </c>
      <c r="V247" s="108">
        <f t="shared" si="57"/>
        <v>1860.5400000000002</v>
      </c>
      <c r="W247" s="79">
        <f t="shared" si="52"/>
        <v>1219.4600000000003</v>
      </c>
      <c r="X247" s="86">
        <v>780</v>
      </c>
    </row>
    <row r="248" spans="1:24" ht="25.5" x14ac:dyDescent="0.2">
      <c r="A248" s="710"/>
      <c r="B248" s="14" t="s">
        <v>279</v>
      </c>
      <c r="C248" s="7" t="s">
        <v>104</v>
      </c>
      <c r="D248" s="32" t="s">
        <v>285</v>
      </c>
      <c r="E248" s="5">
        <v>14</v>
      </c>
      <c r="F248" s="3">
        <v>0.12</v>
      </c>
      <c r="G248" s="3"/>
      <c r="H248" s="13">
        <v>0</v>
      </c>
      <c r="I248" s="29">
        <f t="shared" si="53"/>
        <v>0</v>
      </c>
      <c r="J248" s="30">
        <f t="shared" si="54"/>
        <v>0</v>
      </c>
      <c r="K248" s="93">
        <f t="shared" si="45"/>
        <v>4200</v>
      </c>
      <c r="L248" s="93">
        <f t="shared" si="46"/>
        <v>3080.0000000000005</v>
      </c>
      <c r="M248" s="93">
        <f t="shared" si="47"/>
        <v>2940</v>
      </c>
      <c r="N248" s="64">
        <v>2800</v>
      </c>
      <c r="O248" s="69">
        <v>1691.4</v>
      </c>
      <c r="P248" s="62">
        <f t="shared" si="55"/>
        <v>1108.5999999999999</v>
      </c>
      <c r="R248" s="105">
        <f t="shared" si="48"/>
        <v>4620.0000000000009</v>
      </c>
      <c r="S248" s="105">
        <f t="shared" si="49"/>
        <v>3388.0000000000009</v>
      </c>
      <c r="T248" s="105">
        <f t="shared" si="50"/>
        <v>3234.0000000000005</v>
      </c>
      <c r="U248" s="75">
        <f t="shared" si="51"/>
        <v>3080.0000000000005</v>
      </c>
      <c r="V248" s="108">
        <f t="shared" si="57"/>
        <v>1860.5400000000002</v>
      </c>
      <c r="W248" s="79">
        <f t="shared" si="52"/>
        <v>1219.4600000000003</v>
      </c>
      <c r="X248" s="86">
        <v>780</v>
      </c>
    </row>
    <row r="249" spans="1:24" ht="25.5" x14ac:dyDescent="0.2">
      <c r="A249" s="710"/>
      <c r="B249" s="14" t="s">
        <v>327</v>
      </c>
      <c r="C249" s="7" t="s">
        <v>104</v>
      </c>
      <c r="D249" s="32" t="s">
        <v>285</v>
      </c>
      <c r="E249" s="5">
        <v>14</v>
      </c>
      <c r="F249" s="3">
        <v>0.12</v>
      </c>
      <c r="G249" s="3"/>
      <c r="H249" s="13">
        <v>0</v>
      </c>
      <c r="I249" s="29">
        <f t="shared" si="53"/>
        <v>0</v>
      </c>
      <c r="J249" s="30">
        <f t="shared" si="54"/>
        <v>0</v>
      </c>
      <c r="K249" s="93">
        <f t="shared" si="45"/>
        <v>4200</v>
      </c>
      <c r="L249" s="93">
        <f t="shared" si="46"/>
        <v>3080.0000000000005</v>
      </c>
      <c r="M249" s="93">
        <f t="shared" si="47"/>
        <v>2940</v>
      </c>
      <c r="N249" s="64">
        <v>2800</v>
      </c>
      <c r="O249" s="69">
        <v>1691.4</v>
      </c>
      <c r="P249" s="62">
        <f t="shared" si="55"/>
        <v>1108.5999999999999</v>
      </c>
      <c r="R249" s="105">
        <f t="shared" si="48"/>
        <v>4620.0000000000009</v>
      </c>
      <c r="S249" s="105">
        <f t="shared" si="49"/>
        <v>3388.0000000000009</v>
      </c>
      <c r="T249" s="105">
        <f t="shared" si="50"/>
        <v>3234.0000000000005</v>
      </c>
      <c r="U249" s="75">
        <f t="shared" si="51"/>
        <v>3080.0000000000005</v>
      </c>
      <c r="V249" s="108">
        <f t="shared" si="57"/>
        <v>1860.5400000000002</v>
      </c>
      <c r="W249" s="79">
        <f t="shared" si="52"/>
        <v>1219.4600000000003</v>
      </c>
      <c r="X249" s="86">
        <v>780</v>
      </c>
    </row>
    <row r="250" spans="1:24" x14ac:dyDescent="0.25">
      <c r="A250" s="55"/>
      <c r="B250" s="56" t="s">
        <v>163</v>
      </c>
      <c r="C250" s="7"/>
      <c r="D250" s="7"/>
      <c r="E250" s="5"/>
      <c r="F250" s="3"/>
      <c r="G250" s="3"/>
      <c r="H250" s="13">
        <v>0</v>
      </c>
      <c r="I250" s="29"/>
      <c r="J250" s="30"/>
      <c r="K250" s="93">
        <f t="shared" si="45"/>
        <v>0</v>
      </c>
      <c r="L250" s="93">
        <f t="shared" si="46"/>
        <v>0</v>
      </c>
      <c r="M250" s="93">
        <f t="shared" si="47"/>
        <v>0</v>
      </c>
      <c r="N250" s="64"/>
      <c r="O250" s="69"/>
      <c r="P250" s="62">
        <f t="shared" si="55"/>
        <v>0</v>
      </c>
      <c r="R250" s="105">
        <f t="shared" si="48"/>
        <v>0</v>
      </c>
      <c r="S250" s="105">
        <f t="shared" si="49"/>
        <v>0</v>
      </c>
      <c r="T250" s="105">
        <f t="shared" si="50"/>
        <v>0</v>
      </c>
      <c r="U250" s="75">
        <f t="shared" si="51"/>
        <v>0</v>
      </c>
      <c r="V250" s="108">
        <f t="shared" si="57"/>
        <v>0</v>
      </c>
      <c r="W250" s="79">
        <f t="shared" si="52"/>
        <v>0</v>
      </c>
      <c r="X250" s="86"/>
    </row>
    <row r="251" spans="1:24" s="1" customFormat="1" ht="26.25" customHeight="1" x14ac:dyDescent="0.2">
      <c r="A251" s="711" t="s">
        <v>163</v>
      </c>
      <c r="B251" s="2" t="s">
        <v>47</v>
      </c>
      <c r="C251" s="9" t="s">
        <v>116</v>
      </c>
      <c r="D251" s="9"/>
      <c r="E251" s="5">
        <v>15</v>
      </c>
      <c r="F251" s="3">
        <v>0.06</v>
      </c>
      <c r="G251" s="3"/>
      <c r="H251" s="13">
        <v>0</v>
      </c>
      <c r="I251" s="29">
        <f t="shared" ref="I251:I265" si="58">H251*E251</f>
        <v>0</v>
      </c>
      <c r="J251" s="30">
        <f t="shared" ref="J251:J265" si="59">F251*H251</f>
        <v>0</v>
      </c>
      <c r="K251" s="93">
        <f t="shared" si="45"/>
        <v>0</v>
      </c>
      <c r="L251" s="93">
        <f t="shared" si="46"/>
        <v>0</v>
      </c>
      <c r="M251" s="93">
        <f t="shared" si="47"/>
        <v>0</v>
      </c>
      <c r="N251" s="64"/>
      <c r="O251" s="69"/>
      <c r="P251" s="61">
        <f t="shared" si="55"/>
        <v>0</v>
      </c>
      <c r="Q251" s="102"/>
      <c r="R251" s="107">
        <f t="shared" si="48"/>
        <v>0</v>
      </c>
      <c r="S251" s="107">
        <f t="shared" si="49"/>
        <v>0</v>
      </c>
      <c r="T251" s="107">
        <f t="shared" si="50"/>
        <v>0</v>
      </c>
      <c r="U251" s="76">
        <f t="shared" si="51"/>
        <v>0</v>
      </c>
      <c r="V251" s="83">
        <f t="shared" si="57"/>
        <v>0</v>
      </c>
      <c r="W251" s="80">
        <f t="shared" si="52"/>
        <v>0</v>
      </c>
      <c r="X251" s="86"/>
    </row>
    <row r="252" spans="1:24" ht="26.25" customHeight="1" x14ac:dyDescent="0.2">
      <c r="A252" s="711"/>
      <c r="B252" s="4" t="s">
        <v>48</v>
      </c>
      <c r="C252" s="9" t="s">
        <v>117</v>
      </c>
      <c r="D252" s="9"/>
      <c r="E252" s="5">
        <v>14.6</v>
      </c>
      <c r="F252" s="3">
        <v>6.2E-2</v>
      </c>
      <c r="G252" s="3"/>
      <c r="H252" s="13">
        <v>0</v>
      </c>
      <c r="I252" s="29">
        <f t="shared" si="58"/>
        <v>0</v>
      </c>
      <c r="J252" s="30">
        <f t="shared" si="59"/>
        <v>0</v>
      </c>
      <c r="K252" s="93">
        <f t="shared" si="45"/>
        <v>0</v>
      </c>
      <c r="L252" s="93">
        <f t="shared" si="46"/>
        <v>0</v>
      </c>
      <c r="M252" s="93">
        <f t="shared" si="47"/>
        <v>0</v>
      </c>
      <c r="N252" s="64"/>
      <c r="O252" s="69"/>
      <c r="P252" s="62">
        <f t="shared" si="55"/>
        <v>0</v>
      </c>
      <c r="R252" s="105">
        <f t="shared" si="48"/>
        <v>0</v>
      </c>
      <c r="S252" s="105">
        <f t="shared" si="49"/>
        <v>0</v>
      </c>
      <c r="T252" s="105">
        <f t="shared" si="50"/>
        <v>0</v>
      </c>
      <c r="U252" s="75">
        <f t="shared" si="51"/>
        <v>0</v>
      </c>
      <c r="V252" s="108">
        <f t="shared" si="57"/>
        <v>0</v>
      </c>
      <c r="W252" s="79">
        <f t="shared" si="52"/>
        <v>0</v>
      </c>
      <c r="X252" s="86"/>
    </row>
    <row r="253" spans="1:24" ht="26.25" customHeight="1" x14ac:dyDescent="0.2">
      <c r="A253" s="711"/>
      <c r="B253" s="4" t="s">
        <v>49</v>
      </c>
      <c r="C253" s="9" t="s">
        <v>118</v>
      </c>
      <c r="D253" s="9"/>
      <c r="E253" s="5">
        <v>15.2</v>
      </c>
      <c r="F253" s="3">
        <v>0.06</v>
      </c>
      <c r="G253" s="3"/>
      <c r="H253" s="13">
        <v>0</v>
      </c>
      <c r="I253" s="29">
        <f t="shared" si="58"/>
        <v>0</v>
      </c>
      <c r="J253" s="30">
        <f t="shared" si="59"/>
        <v>0</v>
      </c>
      <c r="K253" s="93">
        <f t="shared" si="45"/>
        <v>0</v>
      </c>
      <c r="L253" s="93">
        <f t="shared" si="46"/>
        <v>0</v>
      </c>
      <c r="M253" s="93">
        <f t="shared" si="47"/>
        <v>0</v>
      </c>
      <c r="N253" s="64"/>
      <c r="O253" s="69"/>
      <c r="P253" s="62">
        <f t="shared" si="55"/>
        <v>0</v>
      </c>
      <c r="R253" s="105">
        <f t="shared" si="48"/>
        <v>0</v>
      </c>
      <c r="S253" s="105">
        <f t="shared" si="49"/>
        <v>0</v>
      </c>
      <c r="T253" s="105">
        <f t="shared" si="50"/>
        <v>0</v>
      </c>
      <c r="U253" s="75">
        <f t="shared" si="51"/>
        <v>0</v>
      </c>
      <c r="V253" s="108">
        <f t="shared" si="57"/>
        <v>0</v>
      </c>
      <c r="W253" s="79">
        <f t="shared" si="52"/>
        <v>0</v>
      </c>
      <c r="X253" s="86"/>
    </row>
    <row r="254" spans="1:24" ht="26.25" customHeight="1" x14ac:dyDescent="0.2">
      <c r="A254" s="711"/>
      <c r="B254" s="4" t="s">
        <v>50</v>
      </c>
      <c r="C254" s="9" t="s">
        <v>119</v>
      </c>
      <c r="D254" s="9"/>
      <c r="E254" s="5">
        <v>18</v>
      </c>
      <c r="F254" s="3">
        <v>7.5999999999999998E-2</v>
      </c>
      <c r="G254" s="3"/>
      <c r="H254" s="13">
        <v>0</v>
      </c>
      <c r="I254" s="29">
        <f t="shared" si="58"/>
        <v>0</v>
      </c>
      <c r="J254" s="30">
        <f t="shared" si="59"/>
        <v>0</v>
      </c>
      <c r="K254" s="93">
        <f t="shared" si="45"/>
        <v>0</v>
      </c>
      <c r="L254" s="93">
        <f t="shared" si="46"/>
        <v>0</v>
      </c>
      <c r="M254" s="93">
        <f t="shared" si="47"/>
        <v>0</v>
      </c>
      <c r="N254" s="64"/>
      <c r="O254" s="69"/>
      <c r="P254" s="62">
        <f t="shared" si="55"/>
        <v>0</v>
      </c>
      <c r="R254" s="105">
        <f t="shared" si="48"/>
        <v>0</v>
      </c>
      <c r="S254" s="105">
        <f t="shared" si="49"/>
        <v>0</v>
      </c>
      <c r="T254" s="105">
        <f t="shared" si="50"/>
        <v>0</v>
      </c>
      <c r="U254" s="75">
        <f t="shared" si="51"/>
        <v>0</v>
      </c>
      <c r="V254" s="108">
        <f t="shared" si="57"/>
        <v>0</v>
      </c>
      <c r="W254" s="79">
        <f t="shared" si="52"/>
        <v>0</v>
      </c>
      <c r="X254" s="86"/>
    </row>
    <row r="255" spans="1:24" ht="15.75" customHeight="1" x14ac:dyDescent="0.2">
      <c r="A255" s="711"/>
      <c r="B255" s="3" t="s">
        <v>51</v>
      </c>
      <c r="C255" s="9" t="s">
        <v>121</v>
      </c>
      <c r="D255" s="9"/>
      <c r="E255" s="5">
        <v>22</v>
      </c>
      <c r="F255" s="3">
        <v>0.1</v>
      </c>
      <c r="G255" s="3"/>
      <c r="H255" s="13">
        <v>0</v>
      </c>
      <c r="I255" s="29">
        <f t="shared" si="58"/>
        <v>0</v>
      </c>
      <c r="J255" s="30">
        <f t="shared" si="59"/>
        <v>0</v>
      </c>
      <c r="K255" s="93">
        <f t="shared" si="45"/>
        <v>0</v>
      </c>
      <c r="L255" s="93">
        <f t="shared" si="46"/>
        <v>0</v>
      </c>
      <c r="M255" s="93">
        <f t="shared" si="47"/>
        <v>0</v>
      </c>
      <c r="N255" s="64"/>
      <c r="O255" s="69"/>
      <c r="P255" s="62">
        <f t="shared" si="55"/>
        <v>0</v>
      </c>
      <c r="R255" s="105">
        <f t="shared" si="48"/>
        <v>0</v>
      </c>
      <c r="S255" s="105">
        <f t="shared" si="49"/>
        <v>0</v>
      </c>
      <c r="T255" s="105">
        <f t="shared" si="50"/>
        <v>0</v>
      </c>
      <c r="U255" s="75">
        <f t="shared" si="51"/>
        <v>0</v>
      </c>
      <c r="V255" s="108">
        <f t="shared" si="57"/>
        <v>0</v>
      </c>
      <c r="W255" s="79">
        <f t="shared" si="52"/>
        <v>0</v>
      </c>
      <c r="X255" s="86"/>
    </row>
    <row r="256" spans="1:24" ht="15.75" customHeight="1" x14ac:dyDescent="0.2">
      <c r="A256" s="711"/>
      <c r="B256" s="3" t="s">
        <v>52</v>
      </c>
      <c r="C256" s="9" t="s">
        <v>120</v>
      </c>
      <c r="D256" s="9"/>
      <c r="E256" s="5">
        <v>28.5</v>
      </c>
      <c r="F256" s="3">
        <v>0.125</v>
      </c>
      <c r="G256" s="3"/>
      <c r="H256" s="13">
        <v>0</v>
      </c>
      <c r="I256" s="29">
        <f t="shared" si="58"/>
        <v>0</v>
      </c>
      <c r="J256" s="30">
        <f t="shared" si="59"/>
        <v>0</v>
      </c>
      <c r="K256" s="93">
        <f t="shared" si="45"/>
        <v>0</v>
      </c>
      <c r="L256" s="93">
        <f t="shared" si="46"/>
        <v>0</v>
      </c>
      <c r="M256" s="93">
        <f t="shared" si="47"/>
        <v>0</v>
      </c>
      <c r="N256" s="64"/>
      <c r="O256" s="69"/>
      <c r="P256" s="62">
        <f t="shared" si="55"/>
        <v>0</v>
      </c>
      <c r="R256" s="105">
        <f t="shared" si="48"/>
        <v>0</v>
      </c>
      <c r="S256" s="105">
        <f t="shared" si="49"/>
        <v>0</v>
      </c>
      <c r="T256" s="105">
        <f t="shared" si="50"/>
        <v>0</v>
      </c>
      <c r="U256" s="75">
        <f t="shared" si="51"/>
        <v>0</v>
      </c>
      <c r="V256" s="108">
        <f t="shared" si="57"/>
        <v>0</v>
      </c>
      <c r="W256" s="79">
        <f t="shared" si="52"/>
        <v>0</v>
      </c>
      <c r="X256" s="86"/>
    </row>
    <row r="257" spans="1:24" ht="15.75" customHeight="1" x14ac:dyDescent="0.2">
      <c r="A257" s="711"/>
      <c r="B257" s="3" t="s">
        <v>53</v>
      </c>
      <c r="C257" s="9"/>
      <c r="D257" s="9"/>
      <c r="E257" s="5">
        <v>14.4</v>
      </c>
      <c r="F257" s="3">
        <v>5.8000000000000003E-2</v>
      </c>
      <c r="G257" s="3"/>
      <c r="H257" s="13">
        <v>0</v>
      </c>
      <c r="I257" s="29">
        <f t="shared" si="58"/>
        <v>0</v>
      </c>
      <c r="J257" s="30">
        <f t="shared" si="59"/>
        <v>0</v>
      </c>
      <c r="K257" s="93">
        <f t="shared" si="45"/>
        <v>0</v>
      </c>
      <c r="L257" s="93">
        <f t="shared" si="46"/>
        <v>0</v>
      </c>
      <c r="M257" s="93">
        <f t="shared" si="47"/>
        <v>0</v>
      </c>
      <c r="N257" s="64"/>
      <c r="O257" s="69"/>
      <c r="P257" s="62">
        <f t="shared" si="55"/>
        <v>0</v>
      </c>
      <c r="R257" s="105">
        <f t="shared" si="48"/>
        <v>0</v>
      </c>
      <c r="S257" s="105">
        <f t="shared" si="49"/>
        <v>0</v>
      </c>
      <c r="T257" s="105">
        <f t="shared" si="50"/>
        <v>0</v>
      </c>
      <c r="U257" s="75">
        <f t="shared" si="51"/>
        <v>0</v>
      </c>
      <c r="V257" s="108">
        <f t="shared" si="57"/>
        <v>0</v>
      </c>
      <c r="W257" s="79">
        <f t="shared" si="52"/>
        <v>0</v>
      </c>
      <c r="X257" s="86"/>
    </row>
    <row r="258" spans="1:24" ht="15.75" customHeight="1" x14ac:dyDescent="0.2">
      <c r="A258" s="711"/>
      <c r="B258" s="3" t="s">
        <v>54</v>
      </c>
      <c r="C258" s="9" t="s">
        <v>122</v>
      </c>
      <c r="D258" s="9"/>
      <c r="E258" s="5">
        <v>11.7</v>
      </c>
      <c r="F258" s="3">
        <v>5.3999999999999999E-2</v>
      </c>
      <c r="G258" s="3"/>
      <c r="H258" s="13">
        <v>0</v>
      </c>
      <c r="I258" s="29">
        <f t="shared" si="58"/>
        <v>0</v>
      </c>
      <c r="J258" s="30">
        <f t="shared" si="59"/>
        <v>0</v>
      </c>
      <c r="K258" s="93">
        <f t="shared" si="45"/>
        <v>0</v>
      </c>
      <c r="L258" s="93">
        <f t="shared" si="46"/>
        <v>0</v>
      </c>
      <c r="M258" s="93">
        <f t="shared" si="47"/>
        <v>0</v>
      </c>
      <c r="N258" s="64"/>
      <c r="O258" s="69"/>
      <c r="P258" s="62">
        <f t="shared" si="55"/>
        <v>0</v>
      </c>
      <c r="R258" s="105">
        <f t="shared" si="48"/>
        <v>0</v>
      </c>
      <c r="S258" s="105">
        <f t="shared" si="49"/>
        <v>0</v>
      </c>
      <c r="T258" s="105">
        <f t="shared" si="50"/>
        <v>0</v>
      </c>
      <c r="U258" s="75">
        <f t="shared" si="51"/>
        <v>0</v>
      </c>
      <c r="V258" s="108">
        <f t="shared" si="57"/>
        <v>0</v>
      </c>
      <c r="W258" s="79">
        <f t="shared" si="52"/>
        <v>0</v>
      </c>
      <c r="X258" s="86"/>
    </row>
    <row r="259" spans="1:24" ht="15.75" customHeight="1" x14ac:dyDescent="0.2">
      <c r="A259" s="711"/>
      <c r="B259" s="3" t="s">
        <v>55</v>
      </c>
      <c r="C259" s="9" t="s">
        <v>123</v>
      </c>
      <c r="D259" s="9"/>
      <c r="E259" s="5">
        <v>15.7</v>
      </c>
      <c r="F259" s="3">
        <v>7.3999999999999996E-2</v>
      </c>
      <c r="G259" s="3"/>
      <c r="H259" s="13">
        <v>0</v>
      </c>
      <c r="I259" s="29">
        <f t="shared" si="58"/>
        <v>0</v>
      </c>
      <c r="J259" s="30">
        <f t="shared" si="59"/>
        <v>0</v>
      </c>
      <c r="K259" s="93">
        <f t="shared" si="45"/>
        <v>0</v>
      </c>
      <c r="L259" s="93">
        <f t="shared" si="46"/>
        <v>0</v>
      </c>
      <c r="M259" s="93">
        <f t="shared" si="47"/>
        <v>0</v>
      </c>
      <c r="N259" s="64"/>
      <c r="O259" s="69"/>
      <c r="P259" s="62">
        <f t="shared" si="55"/>
        <v>0</v>
      </c>
      <c r="R259" s="105">
        <f t="shared" si="48"/>
        <v>0</v>
      </c>
      <c r="S259" s="105">
        <f t="shared" si="49"/>
        <v>0</v>
      </c>
      <c r="T259" s="105">
        <f t="shared" si="50"/>
        <v>0</v>
      </c>
      <c r="U259" s="75">
        <f t="shared" si="51"/>
        <v>0</v>
      </c>
      <c r="V259" s="108">
        <f t="shared" si="57"/>
        <v>0</v>
      </c>
      <c r="W259" s="79">
        <f t="shared" si="52"/>
        <v>0</v>
      </c>
      <c r="X259" s="86"/>
    </row>
    <row r="260" spans="1:24" ht="15.75" customHeight="1" x14ac:dyDescent="0.2">
      <c r="A260" s="711"/>
      <c r="B260" s="3" t="s">
        <v>56</v>
      </c>
      <c r="C260" s="9" t="s">
        <v>124</v>
      </c>
      <c r="D260" s="9"/>
      <c r="E260" s="5">
        <v>28</v>
      </c>
      <c r="F260" s="3">
        <v>0.12</v>
      </c>
      <c r="G260" s="3"/>
      <c r="H260" s="13">
        <v>0</v>
      </c>
      <c r="I260" s="29">
        <f t="shared" si="58"/>
        <v>0</v>
      </c>
      <c r="J260" s="30">
        <f t="shared" si="59"/>
        <v>0</v>
      </c>
      <c r="K260" s="93">
        <f t="shared" ref="K260:K270" si="60">N260*1.5</f>
        <v>0</v>
      </c>
      <c r="L260" s="93">
        <f t="shared" ref="L260:L270" si="61">N260*1.1</f>
        <v>0</v>
      </c>
      <c r="M260" s="93">
        <f t="shared" ref="M260:M270" si="62">N260*1.05</f>
        <v>0</v>
      </c>
      <c r="N260" s="64"/>
      <c r="O260" s="69"/>
      <c r="P260" s="62">
        <f t="shared" si="55"/>
        <v>0</v>
      </c>
      <c r="R260" s="105">
        <f t="shared" ref="R260:R270" si="63">U260*1.5</f>
        <v>0</v>
      </c>
      <c r="S260" s="105">
        <f t="shared" ref="S260:S270" si="64">U260*1.1</f>
        <v>0</v>
      </c>
      <c r="T260" s="105">
        <f t="shared" ref="T260:T270" si="65">U260*1.05</f>
        <v>0</v>
      </c>
      <c r="U260" s="75">
        <f t="shared" ref="U260:U270" si="66">N260*1.1</f>
        <v>0</v>
      </c>
      <c r="V260" s="108">
        <f t="shared" si="57"/>
        <v>0</v>
      </c>
      <c r="W260" s="79">
        <f t="shared" si="52"/>
        <v>0</v>
      </c>
      <c r="X260" s="86"/>
    </row>
    <row r="261" spans="1:24" ht="26.25" customHeight="1" x14ac:dyDescent="0.2">
      <c r="A261" s="711"/>
      <c r="B261" s="4" t="s">
        <v>57</v>
      </c>
      <c r="C261" s="9" t="s">
        <v>129</v>
      </c>
      <c r="D261" s="9"/>
      <c r="E261" s="5">
        <v>8</v>
      </c>
      <c r="F261" s="3">
        <v>0.05</v>
      </c>
      <c r="G261" s="3"/>
      <c r="H261" s="13">
        <v>0</v>
      </c>
      <c r="I261" s="29">
        <f t="shared" si="58"/>
        <v>0</v>
      </c>
      <c r="J261" s="30">
        <f t="shared" si="59"/>
        <v>0</v>
      </c>
      <c r="K261" s="93">
        <f t="shared" si="60"/>
        <v>0</v>
      </c>
      <c r="L261" s="93">
        <f t="shared" si="61"/>
        <v>0</v>
      </c>
      <c r="M261" s="93">
        <f t="shared" si="62"/>
        <v>0</v>
      </c>
      <c r="N261" s="64"/>
      <c r="O261" s="69"/>
      <c r="P261" s="62">
        <f t="shared" si="55"/>
        <v>0</v>
      </c>
      <c r="R261" s="105">
        <f t="shared" si="63"/>
        <v>0</v>
      </c>
      <c r="S261" s="105">
        <f t="shared" si="64"/>
        <v>0</v>
      </c>
      <c r="T261" s="105">
        <f t="shared" si="65"/>
        <v>0</v>
      </c>
      <c r="U261" s="75">
        <f t="shared" si="66"/>
        <v>0</v>
      </c>
      <c r="V261" s="108">
        <f t="shared" si="57"/>
        <v>0</v>
      </c>
      <c r="W261" s="79">
        <f t="shared" si="52"/>
        <v>0</v>
      </c>
      <c r="X261" s="86"/>
    </row>
    <row r="262" spans="1:24" ht="26.25" customHeight="1" x14ac:dyDescent="0.2">
      <c r="A262" s="711"/>
      <c r="B262" s="4" t="s">
        <v>58</v>
      </c>
      <c r="C262" s="9" t="s">
        <v>130</v>
      </c>
      <c r="D262" s="9"/>
      <c r="E262" s="5">
        <v>12</v>
      </c>
      <c r="F262" s="3">
        <v>0.06</v>
      </c>
      <c r="G262" s="3"/>
      <c r="H262" s="13">
        <v>0</v>
      </c>
      <c r="I262" s="29">
        <f t="shared" si="58"/>
        <v>0</v>
      </c>
      <c r="J262" s="30">
        <f t="shared" si="59"/>
        <v>0</v>
      </c>
      <c r="K262" s="93">
        <f t="shared" si="60"/>
        <v>0</v>
      </c>
      <c r="L262" s="93">
        <f t="shared" si="61"/>
        <v>0</v>
      </c>
      <c r="M262" s="93">
        <f t="shared" si="62"/>
        <v>0</v>
      </c>
      <c r="N262" s="64"/>
      <c r="O262" s="69"/>
      <c r="P262" s="62">
        <f t="shared" si="55"/>
        <v>0</v>
      </c>
      <c r="R262" s="105">
        <f t="shared" si="63"/>
        <v>0</v>
      </c>
      <c r="S262" s="105">
        <f t="shared" si="64"/>
        <v>0</v>
      </c>
      <c r="T262" s="105">
        <f t="shared" si="65"/>
        <v>0</v>
      </c>
      <c r="U262" s="75">
        <f t="shared" si="66"/>
        <v>0</v>
      </c>
      <c r="V262" s="108">
        <f t="shared" si="57"/>
        <v>0</v>
      </c>
      <c r="W262" s="79">
        <f t="shared" si="52"/>
        <v>0</v>
      </c>
      <c r="X262" s="86"/>
    </row>
    <row r="263" spans="1:24" ht="26.25" customHeight="1" x14ac:dyDescent="0.2">
      <c r="A263" s="711"/>
      <c r="B263" s="4" t="s">
        <v>59</v>
      </c>
      <c r="C263" s="9" t="s">
        <v>131</v>
      </c>
      <c r="D263" s="9"/>
      <c r="E263" s="5">
        <v>15</v>
      </c>
      <c r="F263" s="3">
        <v>7.4999999999999997E-2</v>
      </c>
      <c r="G263" s="3"/>
      <c r="H263" s="13">
        <v>0</v>
      </c>
      <c r="I263" s="29">
        <f t="shared" si="58"/>
        <v>0</v>
      </c>
      <c r="J263" s="30">
        <f t="shared" si="59"/>
        <v>0</v>
      </c>
      <c r="K263" s="93">
        <f t="shared" si="60"/>
        <v>0</v>
      </c>
      <c r="L263" s="93">
        <f t="shared" si="61"/>
        <v>0</v>
      </c>
      <c r="M263" s="93">
        <f t="shared" si="62"/>
        <v>0</v>
      </c>
      <c r="N263" s="64"/>
      <c r="O263" s="69"/>
      <c r="P263" s="62">
        <f t="shared" si="55"/>
        <v>0</v>
      </c>
      <c r="R263" s="105">
        <f t="shared" si="63"/>
        <v>0</v>
      </c>
      <c r="S263" s="105">
        <f t="shared" si="64"/>
        <v>0</v>
      </c>
      <c r="T263" s="105">
        <f t="shared" si="65"/>
        <v>0</v>
      </c>
      <c r="U263" s="75">
        <f t="shared" si="66"/>
        <v>0</v>
      </c>
      <c r="V263" s="108">
        <f t="shared" si="57"/>
        <v>0</v>
      </c>
      <c r="W263" s="79">
        <f t="shared" si="52"/>
        <v>0</v>
      </c>
      <c r="X263" s="86"/>
    </row>
    <row r="264" spans="1:24" ht="26.25" customHeight="1" x14ac:dyDescent="0.2">
      <c r="A264" s="711"/>
      <c r="B264" s="4" t="s">
        <v>60</v>
      </c>
      <c r="C264" s="9" t="s">
        <v>132</v>
      </c>
      <c r="D264" s="9"/>
      <c r="E264" s="5">
        <v>20</v>
      </c>
      <c r="F264" s="3">
        <v>8.5999999999999993E-2</v>
      </c>
      <c r="G264" s="3"/>
      <c r="H264" s="13">
        <v>0</v>
      </c>
      <c r="I264" s="29">
        <f t="shared" si="58"/>
        <v>0</v>
      </c>
      <c r="J264" s="30">
        <f t="shared" si="59"/>
        <v>0</v>
      </c>
      <c r="K264" s="93">
        <f t="shared" si="60"/>
        <v>0</v>
      </c>
      <c r="L264" s="93">
        <f t="shared" si="61"/>
        <v>0</v>
      </c>
      <c r="M264" s="93">
        <f t="shared" si="62"/>
        <v>0</v>
      </c>
      <c r="N264" s="64"/>
      <c r="O264" s="69"/>
      <c r="P264" s="62">
        <f t="shared" si="55"/>
        <v>0</v>
      </c>
      <c r="R264" s="105">
        <f t="shared" si="63"/>
        <v>0</v>
      </c>
      <c r="S264" s="105">
        <f t="shared" si="64"/>
        <v>0</v>
      </c>
      <c r="T264" s="105">
        <f t="shared" si="65"/>
        <v>0</v>
      </c>
      <c r="U264" s="75">
        <f t="shared" si="66"/>
        <v>0</v>
      </c>
      <c r="V264" s="108">
        <f t="shared" si="57"/>
        <v>0</v>
      </c>
      <c r="W264" s="79">
        <f t="shared" si="52"/>
        <v>0</v>
      </c>
      <c r="X264" s="86"/>
    </row>
    <row r="265" spans="1:24" ht="15.75" customHeight="1" x14ac:dyDescent="0.2">
      <c r="A265" s="711"/>
      <c r="B265" s="3" t="s">
        <v>328</v>
      </c>
      <c r="C265" s="9" t="s">
        <v>125</v>
      </c>
      <c r="D265" s="9"/>
      <c r="E265" s="5"/>
      <c r="F265" s="3">
        <v>0.54</v>
      </c>
      <c r="G265" s="3"/>
      <c r="H265" s="13">
        <v>0</v>
      </c>
      <c r="I265" s="29">
        <f t="shared" si="58"/>
        <v>0</v>
      </c>
      <c r="J265" s="30">
        <f t="shared" si="59"/>
        <v>0</v>
      </c>
      <c r="K265" s="93">
        <f t="shared" si="60"/>
        <v>0</v>
      </c>
      <c r="L265" s="93">
        <f t="shared" si="61"/>
        <v>0</v>
      </c>
      <c r="M265" s="93">
        <f t="shared" si="62"/>
        <v>0</v>
      </c>
      <c r="N265" s="64"/>
      <c r="O265" s="69"/>
      <c r="P265" s="62">
        <f t="shared" si="55"/>
        <v>0</v>
      </c>
      <c r="R265" s="105">
        <f t="shared" si="63"/>
        <v>0</v>
      </c>
      <c r="S265" s="105">
        <f t="shared" si="64"/>
        <v>0</v>
      </c>
      <c r="T265" s="105">
        <f t="shared" si="65"/>
        <v>0</v>
      </c>
      <c r="U265" s="75">
        <f t="shared" si="66"/>
        <v>0</v>
      </c>
      <c r="V265" s="108">
        <f t="shared" si="57"/>
        <v>0</v>
      </c>
      <c r="W265" s="79">
        <f t="shared" si="52"/>
        <v>0</v>
      </c>
      <c r="X265" s="86"/>
    </row>
    <row r="266" spans="1:24" ht="15.75" customHeight="1" x14ac:dyDescent="0.2">
      <c r="A266" s="711"/>
      <c r="B266" s="3" t="s">
        <v>331</v>
      </c>
      <c r="C266" s="9" t="s">
        <v>125</v>
      </c>
      <c r="D266" s="41"/>
      <c r="E266" s="36"/>
      <c r="F266" s="34"/>
      <c r="G266" s="34"/>
      <c r="H266" s="37"/>
      <c r="I266" s="38"/>
      <c r="J266" s="39"/>
      <c r="K266" s="94">
        <f t="shared" si="60"/>
        <v>0</v>
      </c>
      <c r="L266" s="94">
        <f t="shared" si="61"/>
        <v>0</v>
      </c>
      <c r="M266" s="94">
        <f t="shared" si="62"/>
        <v>0</v>
      </c>
      <c r="N266" s="64"/>
      <c r="O266" s="69"/>
      <c r="P266" s="62">
        <f t="shared" si="55"/>
        <v>0</v>
      </c>
      <c r="R266" s="105">
        <f t="shared" si="63"/>
        <v>0</v>
      </c>
      <c r="S266" s="105">
        <f t="shared" si="64"/>
        <v>0</v>
      </c>
      <c r="T266" s="105">
        <f t="shared" si="65"/>
        <v>0</v>
      </c>
      <c r="U266" s="75">
        <f t="shared" si="66"/>
        <v>0</v>
      </c>
      <c r="V266" s="108">
        <f t="shared" si="57"/>
        <v>0</v>
      </c>
      <c r="W266" s="79">
        <f>U266-V266</f>
        <v>0</v>
      </c>
      <c r="X266" s="86"/>
    </row>
    <row r="267" spans="1:24" ht="15.75" customHeight="1" x14ac:dyDescent="0.2">
      <c r="A267" s="711"/>
      <c r="B267" s="3" t="s">
        <v>330</v>
      </c>
      <c r="C267" s="9" t="s">
        <v>126</v>
      </c>
      <c r="D267" s="9"/>
      <c r="E267" s="5"/>
      <c r="F267" s="3">
        <v>0.114</v>
      </c>
      <c r="G267" s="3"/>
      <c r="H267" s="13">
        <v>0</v>
      </c>
      <c r="I267" s="29">
        <f>H267*E267</f>
        <v>0</v>
      </c>
      <c r="J267" s="30">
        <f>F267*H267</f>
        <v>0</v>
      </c>
      <c r="K267" s="93">
        <f t="shared" si="60"/>
        <v>0</v>
      </c>
      <c r="L267" s="93">
        <f t="shared" si="61"/>
        <v>0</v>
      </c>
      <c r="M267" s="93">
        <f t="shared" si="62"/>
        <v>0</v>
      </c>
      <c r="N267" s="64"/>
      <c r="O267" s="69"/>
      <c r="P267" s="62">
        <f t="shared" si="55"/>
        <v>0</v>
      </c>
      <c r="R267" s="105">
        <f t="shared" si="63"/>
        <v>0</v>
      </c>
      <c r="S267" s="105">
        <f t="shared" si="64"/>
        <v>0</v>
      </c>
      <c r="T267" s="105">
        <f t="shared" si="65"/>
        <v>0</v>
      </c>
      <c r="U267" s="75">
        <f t="shared" si="66"/>
        <v>0</v>
      </c>
      <c r="V267" s="108">
        <f t="shared" si="57"/>
        <v>0</v>
      </c>
      <c r="W267" s="79">
        <f>U267-V267</f>
        <v>0</v>
      </c>
      <c r="X267" s="86"/>
    </row>
    <row r="268" spans="1:24" ht="15.75" customHeight="1" x14ac:dyDescent="0.2">
      <c r="A268" s="711"/>
      <c r="B268" s="3" t="s">
        <v>329</v>
      </c>
      <c r="C268" s="9" t="s">
        <v>127</v>
      </c>
      <c r="D268" s="9"/>
      <c r="E268" s="5"/>
      <c r="F268" s="3">
        <v>0.09</v>
      </c>
      <c r="G268" s="3"/>
      <c r="H268" s="13">
        <v>0</v>
      </c>
      <c r="I268" s="29">
        <f>H268*E268</f>
        <v>0</v>
      </c>
      <c r="J268" s="30">
        <f>F268*H268</f>
        <v>0</v>
      </c>
      <c r="K268" s="93">
        <f t="shared" si="60"/>
        <v>0</v>
      </c>
      <c r="L268" s="93">
        <f t="shared" si="61"/>
        <v>0</v>
      </c>
      <c r="M268" s="93">
        <f t="shared" si="62"/>
        <v>0</v>
      </c>
      <c r="N268" s="64"/>
      <c r="O268" s="69"/>
      <c r="P268" s="62">
        <f t="shared" si="55"/>
        <v>0</v>
      </c>
      <c r="R268" s="105">
        <f t="shared" si="63"/>
        <v>0</v>
      </c>
      <c r="S268" s="105">
        <f t="shared" si="64"/>
        <v>0</v>
      </c>
      <c r="T268" s="105">
        <f t="shared" si="65"/>
        <v>0</v>
      </c>
      <c r="U268" s="75">
        <f t="shared" si="66"/>
        <v>0</v>
      </c>
      <c r="V268" s="108">
        <f t="shared" si="57"/>
        <v>0</v>
      </c>
      <c r="W268" s="79">
        <f>U268-V268</f>
        <v>0</v>
      </c>
      <c r="X268" s="86"/>
    </row>
    <row r="269" spans="1:24" ht="15.75" customHeight="1" x14ac:dyDescent="0.2">
      <c r="A269" s="711"/>
      <c r="B269" s="42" t="s">
        <v>364</v>
      </c>
      <c r="C269" s="41" t="s">
        <v>344</v>
      </c>
      <c r="D269" s="41"/>
      <c r="E269" s="36"/>
      <c r="F269" s="34"/>
      <c r="G269" s="34"/>
      <c r="H269" s="37"/>
      <c r="I269" s="38"/>
      <c r="J269" s="39"/>
      <c r="K269" s="94">
        <f t="shared" si="60"/>
        <v>0</v>
      </c>
      <c r="L269" s="94">
        <f t="shared" si="61"/>
        <v>0</v>
      </c>
      <c r="M269" s="94">
        <f t="shared" si="62"/>
        <v>0</v>
      </c>
      <c r="N269" s="64"/>
      <c r="O269" s="69"/>
      <c r="P269" s="62">
        <f t="shared" si="55"/>
        <v>0</v>
      </c>
      <c r="R269" s="105">
        <f t="shared" si="63"/>
        <v>0</v>
      </c>
      <c r="S269" s="105">
        <f t="shared" si="64"/>
        <v>0</v>
      </c>
      <c r="T269" s="105">
        <f t="shared" si="65"/>
        <v>0</v>
      </c>
      <c r="U269" s="75">
        <f t="shared" si="66"/>
        <v>0</v>
      </c>
      <c r="V269" s="108">
        <f t="shared" si="57"/>
        <v>0</v>
      </c>
      <c r="W269" s="79">
        <f>U269-V269</f>
        <v>0</v>
      </c>
      <c r="X269" s="86"/>
    </row>
    <row r="270" spans="1:24" ht="15.75" customHeight="1" x14ac:dyDescent="0.2">
      <c r="A270" s="711"/>
      <c r="B270" s="3" t="s">
        <v>300</v>
      </c>
      <c r="C270" s="9" t="s">
        <v>128</v>
      </c>
      <c r="D270" s="9"/>
      <c r="E270" s="5"/>
      <c r="F270" s="3">
        <v>0.114</v>
      </c>
      <c r="G270" s="3"/>
      <c r="H270" s="13">
        <v>0</v>
      </c>
      <c r="I270" s="29">
        <f>H270*E270</f>
        <v>0</v>
      </c>
      <c r="J270" s="30">
        <f>F270*H270</f>
        <v>0</v>
      </c>
      <c r="K270" s="95">
        <f t="shared" si="60"/>
        <v>0</v>
      </c>
      <c r="L270" s="95">
        <f t="shared" si="61"/>
        <v>0</v>
      </c>
      <c r="M270" s="95">
        <f t="shared" si="62"/>
        <v>0</v>
      </c>
      <c r="N270" s="68"/>
      <c r="O270" s="69"/>
      <c r="P270" s="62">
        <f t="shared" si="55"/>
        <v>0</v>
      </c>
      <c r="R270" s="105">
        <f t="shared" si="63"/>
        <v>0</v>
      </c>
      <c r="S270" s="105">
        <f t="shared" si="64"/>
        <v>0</v>
      </c>
      <c r="T270" s="105">
        <f t="shared" si="65"/>
        <v>0</v>
      </c>
      <c r="U270" s="75">
        <f t="shared" si="66"/>
        <v>0</v>
      </c>
      <c r="V270" s="108">
        <f t="shared" si="57"/>
        <v>0</v>
      </c>
      <c r="W270" s="79">
        <f>U270-V270</f>
        <v>0</v>
      </c>
      <c r="X270" s="86"/>
    </row>
    <row r="272" spans="1:24" x14ac:dyDescent="0.25">
      <c r="B272" s="15" t="s">
        <v>299</v>
      </c>
    </row>
    <row r="273" spans="2:22" x14ac:dyDescent="0.25">
      <c r="B273" s="11" t="s">
        <v>217</v>
      </c>
      <c r="C273"/>
      <c r="D273"/>
      <c r="E273"/>
      <c r="F273"/>
      <c r="G273"/>
      <c r="H273" s="18"/>
      <c r="I273" s="18" t="s">
        <v>335</v>
      </c>
      <c r="J273" s="18"/>
      <c r="K273" s="97"/>
      <c r="L273" s="97"/>
      <c r="M273" s="97"/>
      <c r="N273" s="18"/>
      <c r="O273" s="18"/>
      <c r="P273" s="18" t="s">
        <v>335</v>
      </c>
      <c r="Q273" s="103"/>
      <c r="R273" s="18"/>
      <c r="S273" s="18"/>
      <c r="T273" s="18"/>
      <c r="U273" s="72"/>
      <c r="V273" s="18"/>
    </row>
    <row r="274" spans="2:22" x14ac:dyDescent="0.25">
      <c r="B274" s="11" t="s">
        <v>200</v>
      </c>
      <c r="C274"/>
      <c r="D274"/>
      <c r="E274"/>
      <c r="F274"/>
      <c r="G274"/>
      <c r="H274" s="18"/>
      <c r="I274" s="18" t="s">
        <v>164</v>
      </c>
      <c r="J274" s="18"/>
      <c r="K274" s="97"/>
      <c r="L274" s="97"/>
      <c r="M274" s="97"/>
      <c r="N274" s="18"/>
      <c r="O274" s="18"/>
      <c r="P274" s="18" t="s">
        <v>164</v>
      </c>
      <c r="Q274" s="103"/>
      <c r="R274" s="18"/>
      <c r="S274" s="18"/>
      <c r="T274" s="18"/>
      <c r="U274" s="72"/>
      <c r="V274" s="18"/>
    </row>
    <row r="275" spans="2:22" x14ac:dyDescent="0.25">
      <c r="B275" s="11" t="s">
        <v>199</v>
      </c>
      <c r="C275"/>
      <c r="D275"/>
      <c r="E275"/>
      <c r="F275"/>
      <c r="G275"/>
      <c r="H275" s="18"/>
      <c r="I275" s="15" t="s">
        <v>148</v>
      </c>
      <c r="J275" s="18"/>
      <c r="K275" s="97"/>
      <c r="L275" s="97"/>
      <c r="M275" s="97"/>
      <c r="N275" s="18"/>
      <c r="O275" s="18"/>
      <c r="P275" s="15" t="s">
        <v>148</v>
      </c>
      <c r="Q275" s="104"/>
      <c r="R275" s="15"/>
      <c r="S275" s="15"/>
      <c r="T275" s="15"/>
      <c r="U275" s="72"/>
      <c r="V275" s="18"/>
    </row>
    <row r="276" spans="2:22" x14ac:dyDescent="0.25">
      <c r="B276" s="11" t="s">
        <v>201</v>
      </c>
      <c r="C276"/>
      <c r="D276"/>
      <c r="E276"/>
      <c r="F276"/>
      <c r="G276"/>
      <c r="H276" s="18"/>
      <c r="I276" s="18" t="s">
        <v>436</v>
      </c>
      <c r="J276" s="18"/>
      <c r="K276" s="97"/>
      <c r="L276" s="97"/>
      <c r="M276" s="97"/>
      <c r="N276" s="18"/>
      <c r="O276" s="18"/>
      <c r="P276" s="18" t="s">
        <v>436</v>
      </c>
      <c r="Q276" s="103"/>
      <c r="R276" s="18"/>
      <c r="S276" s="18"/>
      <c r="T276" s="18"/>
      <c r="U276" s="72"/>
      <c r="V276" s="18"/>
    </row>
    <row r="277" spans="2:22" x14ac:dyDescent="0.25">
      <c r="B277" s="11" t="s">
        <v>202</v>
      </c>
      <c r="C277"/>
      <c r="D277"/>
      <c r="E277"/>
      <c r="F277"/>
      <c r="G277"/>
      <c r="H277" s="18"/>
      <c r="I277" s="18" t="s">
        <v>297</v>
      </c>
      <c r="J277" s="18"/>
      <c r="K277" s="97"/>
      <c r="L277" s="97"/>
      <c r="M277" s="97"/>
      <c r="N277" s="18"/>
      <c r="O277" s="18"/>
      <c r="P277" s="18" t="s">
        <v>297</v>
      </c>
      <c r="Q277" s="103"/>
      <c r="R277" s="18"/>
      <c r="S277" s="18"/>
      <c r="T277" s="18"/>
      <c r="U277" s="72"/>
      <c r="V277" s="18"/>
    </row>
    <row r="278" spans="2:22" x14ac:dyDescent="0.25">
      <c r="B278" s="11" t="s">
        <v>203</v>
      </c>
      <c r="C278"/>
      <c r="D278"/>
      <c r="E278"/>
      <c r="F278"/>
      <c r="G278"/>
      <c r="H278" s="19"/>
      <c r="I278" s="15" t="s">
        <v>183</v>
      </c>
      <c r="J278" s="19"/>
      <c r="K278" s="98"/>
      <c r="L278" s="98"/>
      <c r="M278" s="98"/>
      <c r="N278" s="19"/>
      <c r="O278" s="19"/>
      <c r="P278" s="15" t="s">
        <v>183</v>
      </c>
      <c r="Q278" s="104"/>
      <c r="R278" s="15"/>
      <c r="S278" s="15"/>
      <c r="T278" s="15"/>
      <c r="U278" s="73"/>
      <c r="V278" s="19"/>
    </row>
    <row r="279" spans="2:22" x14ac:dyDescent="0.25">
      <c r="B279" s="15" t="s">
        <v>205</v>
      </c>
      <c r="C279"/>
      <c r="D279"/>
      <c r="E279"/>
      <c r="F279"/>
      <c r="G279"/>
      <c r="H279" s="19"/>
      <c r="I279" s="15" t="s">
        <v>182</v>
      </c>
      <c r="J279" s="19"/>
      <c r="K279" s="98"/>
      <c r="L279" s="98"/>
      <c r="M279" s="98"/>
      <c r="N279" s="19"/>
      <c r="O279" s="19"/>
      <c r="P279" s="15" t="s">
        <v>182</v>
      </c>
      <c r="Q279" s="104"/>
      <c r="R279" s="15"/>
      <c r="S279" s="15"/>
      <c r="T279" s="15"/>
      <c r="U279" s="73"/>
      <c r="V279" s="19"/>
    </row>
    <row r="280" spans="2:22" x14ac:dyDescent="0.25">
      <c r="B280" s="15" t="s">
        <v>204</v>
      </c>
      <c r="C280"/>
      <c r="D280"/>
      <c r="E280"/>
      <c r="F280"/>
      <c r="G280"/>
      <c r="H280" s="19"/>
      <c r="I280" s="15" t="s">
        <v>437</v>
      </c>
      <c r="J280" s="19"/>
      <c r="K280" s="98"/>
      <c r="L280" s="98"/>
      <c r="M280" s="98"/>
      <c r="N280" s="19"/>
      <c r="O280" s="19"/>
      <c r="P280" s="15" t="s">
        <v>437</v>
      </c>
      <c r="Q280" s="104"/>
      <c r="R280" s="15"/>
      <c r="S280" s="15"/>
      <c r="T280" s="15"/>
      <c r="U280" s="73"/>
      <c r="V280" s="19"/>
    </row>
    <row r="281" spans="2:22" x14ac:dyDescent="0.25">
      <c r="B281" s="10" t="s">
        <v>146</v>
      </c>
      <c r="C281"/>
      <c r="D281"/>
      <c r="E281"/>
      <c r="F281"/>
      <c r="G281"/>
    </row>
    <row r="282" spans="2:22" x14ac:dyDescent="0.25">
      <c r="B282" s="10" t="s">
        <v>147</v>
      </c>
      <c r="C282"/>
      <c r="D282"/>
      <c r="E282"/>
      <c r="F282"/>
      <c r="G282"/>
    </row>
    <row r="283" spans="2:22" x14ac:dyDescent="0.25">
      <c r="B283" s="15" t="s">
        <v>183</v>
      </c>
      <c r="C283"/>
      <c r="D283"/>
      <c r="E283"/>
      <c r="F283"/>
      <c r="G283"/>
    </row>
    <row r="284" spans="2:22" x14ac:dyDescent="0.25">
      <c r="B284" s="15" t="s">
        <v>182</v>
      </c>
      <c r="C284"/>
      <c r="D284"/>
      <c r="E284"/>
      <c r="F284"/>
      <c r="G284"/>
    </row>
    <row r="285" spans="2:22" x14ac:dyDescent="0.25">
      <c r="B285" s="15" t="s">
        <v>206</v>
      </c>
      <c r="C285"/>
      <c r="D285"/>
      <c r="E285"/>
      <c r="F285"/>
      <c r="G285"/>
    </row>
    <row r="286" spans="2:22" x14ac:dyDescent="0.25">
      <c r="B286" s="15" t="s">
        <v>207</v>
      </c>
      <c r="C286"/>
      <c r="D286"/>
      <c r="E286"/>
      <c r="F286"/>
      <c r="G286"/>
    </row>
  </sheetData>
  <mergeCells count="29">
    <mergeCell ref="A125:A134"/>
    <mergeCell ref="A4:A6"/>
    <mergeCell ref="A8:A13"/>
    <mergeCell ref="A14:A34"/>
    <mergeCell ref="A35:A37"/>
    <mergeCell ref="A56:A58"/>
    <mergeCell ref="A38:A55"/>
    <mergeCell ref="A1:O1"/>
    <mergeCell ref="A172:A179"/>
    <mergeCell ref="A180:A199"/>
    <mergeCell ref="A200:A203"/>
    <mergeCell ref="A204:A205"/>
    <mergeCell ref="A135:A139"/>
    <mergeCell ref="A140:A144"/>
    <mergeCell ref="A145:A153"/>
    <mergeCell ref="A154:A160"/>
    <mergeCell ref="A161:A162"/>
    <mergeCell ref="A163:A167"/>
    <mergeCell ref="A60:A81"/>
    <mergeCell ref="A82:A91"/>
    <mergeCell ref="A92:A115"/>
    <mergeCell ref="A116:A118"/>
    <mergeCell ref="A119:A124"/>
    <mergeCell ref="A212:A233"/>
    <mergeCell ref="A168:A171"/>
    <mergeCell ref="A234:A239"/>
    <mergeCell ref="A240:A249"/>
    <mergeCell ref="A251:A270"/>
    <mergeCell ref="A206:A21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97" fitToHeight="0" orientation="portrait" r:id="rId1"/>
  <drawing r:id="rId2"/>
  <legacyDrawing r:id="rId3"/>
  <tableParts count="1">
    <tablePart r:id="rId4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F11" sqref="F11"/>
    </sheetView>
  </sheetViews>
  <sheetFormatPr defaultRowHeight="15.75" x14ac:dyDescent="0.25"/>
  <cols>
    <col min="1" max="1" width="13" style="515" bestFit="1" customWidth="1"/>
    <col min="2" max="2" width="39.5703125" style="516" bestFit="1" customWidth="1"/>
    <col min="3" max="3" width="15.7109375" style="516" bestFit="1" customWidth="1"/>
    <col min="4" max="4" width="9.85546875" style="516" bestFit="1" customWidth="1"/>
    <col min="5" max="16384" width="9.140625" style="516"/>
  </cols>
  <sheetData>
    <row r="1" spans="1:5" s="524" customFormat="1" ht="32.25" thickBot="1" x14ac:dyDescent="0.25">
      <c r="A1" s="523"/>
      <c r="B1" s="524" t="s">
        <v>1132</v>
      </c>
      <c r="C1" s="525" t="s">
        <v>1136</v>
      </c>
      <c r="D1" s="524" t="s">
        <v>1145</v>
      </c>
      <c r="E1" s="524" t="s">
        <v>1148</v>
      </c>
    </row>
    <row r="2" spans="1:5" s="522" customFormat="1" x14ac:dyDescent="0.25">
      <c r="A2" s="521" t="s">
        <v>594</v>
      </c>
      <c r="B2" s="522" t="s">
        <v>1134</v>
      </c>
      <c r="C2" s="522" t="s">
        <v>1133</v>
      </c>
      <c r="D2" s="522" t="s">
        <v>1146</v>
      </c>
      <c r="E2" s="522" t="s">
        <v>1133</v>
      </c>
    </row>
    <row r="3" spans="1:5" x14ac:dyDescent="0.25">
      <c r="A3" s="518" t="s">
        <v>1131</v>
      </c>
      <c r="B3" s="516" t="s">
        <v>1137</v>
      </c>
      <c r="C3" s="516" t="s">
        <v>1133</v>
      </c>
      <c r="D3" s="516" t="s">
        <v>1147</v>
      </c>
      <c r="E3" s="516" t="s">
        <v>1133</v>
      </c>
    </row>
    <row r="4" spans="1:5" x14ac:dyDescent="0.25">
      <c r="A4" s="518" t="s">
        <v>141</v>
      </c>
      <c r="B4" s="516" t="s">
        <v>1137</v>
      </c>
      <c r="C4" s="516" t="s">
        <v>1133</v>
      </c>
      <c r="D4" s="516" t="s">
        <v>1147</v>
      </c>
      <c r="E4" s="516" t="s">
        <v>1133</v>
      </c>
    </row>
    <row r="5" spans="1:5" x14ac:dyDescent="0.25">
      <c r="A5" s="517" t="s">
        <v>142</v>
      </c>
      <c r="B5" s="516" t="s">
        <v>1138</v>
      </c>
      <c r="C5" s="516" t="s">
        <v>1146</v>
      </c>
      <c r="D5" s="516" t="s">
        <v>1146</v>
      </c>
      <c r="E5" s="516" t="s">
        <v>1133</v>
      </c>
    </row>
    <row r="6" spans="1:5" x14ac:dyDescent="0.25">
      <c r="A6" s="518" t="s">
        <v>610</v>
      </c>
      <c r="B6" s="516" t="s">
        <v>1133</v>
      </c>
      <c r="C6" s="516" t="s">
        <v>1133</v>
      </c>
      <c r="D6" s="516" t="s">
        <v>1133</v>
      </c>
      <c r="E6" s="516" t="s">
        <v>1133</v>
      </c>
    </row>
    <row r="7" spans="1:5" x14ac:dyDescent="0.25">
      <c r="A7" s="518" t="s">
        <v>1110</v>
      </c>
      <c r="B7" s="516" t="s">
        <v>1133</v>
      </c>
      <c r="C7" s="516" t="s">
        <v>1133</v>
      </c>
      <c r="D7" s="516" t="s">
        <v>1133</v>
      </c>
      <c r="E7" s="516" t="s">
        <v>1146</v>
      </c>
    </row>
    <row r="8" spans="1:5" x14ac:dyDescent="0.25">
      <c r="A8" s="518" t="s">
        <v>1129</v>
      </c>
      <c r="B8" s="516" t="s">
        <v>1133</v>
      </c>
      <c r="C8" s="516" t="s">
        <v>1133</v>
      </c>
      <c r="D8" s="516" t="s">
        <v>1146</v>
      </c>
      <c r="E8" s="516" t="s">
        <v>1133</v>
      </c>
    </row>
    <row r="9" spans="1:5" x14ac:dyDescent="0.25">
      <c r="A9" s="519" t="s">
        <v>304</v>
      </c>
      <c r="B9" s="516" t="s">
        <v>1135</v>
      </c>
      <c r="C9" s="516" t="s">
        <v>1133</v>
      </c>
      <c r="D9" s="516" t="s">
        <v>1146</v>
      </c>
      <c r="E9" s="516" t="s">
        <v>1146</v>
      </c>
    </row>
    <row r="10" spans="1:5" x14ac:dyDescent="0.25">
      <c r="A10" s="519" t="s">
        <v>134</v>
      </c>
      <c r="B10" s="516" t="s">
        <v>1133</v>
      </c>
      <c r="C10" s="516" t="s">
        <v>1133</v>
      </c>
      <c r="D10" s="516" t="s">
        <v>1146</v>
      </c>
      <c r="E10" s="516" t="s">
        <v>1133</v>
      </c>
    </row>
    <row r="11" spans="1:5" x14ac:dyDescent="0.25">
      <c r="A11" s="517" t="s">
        <v>1130</v>
      </c>
      <c r="B11" s="516" t="s">
        <v>1133</v>
      </c>
      <c r="C11" s="516" t="s">
        <v>1133</v>
      </c>
      <c r="D11" s="516" t="s">
        <v>1133</v>
      </c>
      <c r="E11" s="516" t="s">
        <v>1146</v>
      </c>
    </row>
    <row r="12" spans="1:5" x14ac:dyDescent="0.25">
      <c r="A12" s="519" t="s">
        <v>137</v>
      </c>
      <c r="B12" s="516" t="s">
        <v>1134</v>
      </c>
      <c r="C12" s="516" t="s">
        <v>1133</v>
      </c>
      <c r="D12" s="516" t="s">
        <v>1146</v>
      </c>
      <c r="E12" s="516" t="s">
        <v>1133</v>
      </c>
    </row>
    <row r="13" spans="1:5" x14ac:dyDescent="0.25">
      <c r="A13" s="519" t="s">
        <v>138</v>
      </c>
      <c r="B13" s="516" t="s">
        <v>1135</v>
      </c>
      <c r="C13" s="516" t="s">
        <v>1133</v>
      </c>
      <c r="D13" s="516" t="s">
        <v>1146</v>
      </c>
      <c r="E13" s="516" t="s">
        <v>1146</v>
      </c>
    </row>
    <row r="14" spans="1:5" x14ac:dyDescent="0.25">
      <c r="A14" s="517" t="s">
        <v>139</v>
      </c>
      <c r="B14" s="516" t="s">
        <v>1133</v>
      </c>
      <c r="C14" s="516" t="s">
        <v>1133</v>
      </c>
      <c r="D14" s="516" t="s">
        <v>1133</v>
      </c>
      <c r="E14" s="516" t="s">
        <v>1146</v>
      </c>
    </row>
    <row r="15" spans="1:5" x14ac:dyDescent="0.25">
      <c r="A15" s="517" t="s">
        <v>155</v>
      </c>
      <c r="B15" s="516" t="s">
        <v>1138</v>
      </c>
      <c r="C15" s="516" t="s">
        <v>1146</v>
      </c>
      <c r="D15" s="516" t="s">
        <v>1146</v>
      </c>
      <c r="E15" s="516" t="s">
        <v>1133</v>
      </c>
    </row>
    <row r="16" spans="1:5" x14ac:dyDescent="0.25">
      <c r="A16" s="518" t="s">
        <v>1053</v>
      </c>
      <c r="B16" s="516" t="s">
        <v>1133</v>
      </c>
      <c r="C16" s="516" t="s">
        <v>1133</v>
      </c>
      <c r="D16" s="516" t="s">
        <v>1133</v>
      </c>
      <c r="E16" s="516" t="s">
        <v>1146</v>
      </c>
    </row>
    <row r="17" spans="1:5" x14ac:dyDescent="0.25">
      <c r="A17" s="519" t="s">
        <v>162</v>
      </c>
      <c r="B17" s="516" t="s">
        <v>1133</v>
      </c>
      <c r="C17" s="516" t="s">
        <v>1133</v>
      </c>
      <c r="D17" s="516" t="s">
        <v>1146</v>
      </c>
      <c r="E17" s="516" t="s">
        <v>1133</v>
      </c>
    </row>
    <row r="18" spans="1:5" x14ac:dyDescent="0.25">
      <c r="A18" s="517" t="s">
        <v>1127</v>
      </c>
      <c r="B18" s="516" t="s">
        <v>1138</v>
      </c>
      <c r="C18" s="516" t="s">
        <v>1146</v>
      </c>
      <c r="D18" s="516" t="s">
        <v>1146</v>
      </c>
      <c r="E18" s="516" t="s">
        <v>1146</v>
      </c>
    </row>
    <row r="19" spans="1:5" x14ac:dyDescent="0.25">
      <c r="A19" s="519" t="s">
        <v>140</v>
      </c>
      <c r="B19" s="516" t="s">
        <v>1139</v>
      </c>
      <c r="C19" s="516" t="s">
        <v>1146</v>
      </c>
      <c r="D19" s="516" t="s">
        <v>1146</v>
      </c>
      <c r="E19" s="516" t="s">
        <v>1133</v>
      </c>
    </row>
    <row r="20" spans="1:5" x14ac:dyDescent="0.25">
      <c r="A20" s="519" t="s">
        <v>346</v>
      </c>
      <c r="B20" s="516" t="s">
        <v>1137</v>
      </c>
      <c r="C20" s="516" t="s">
        <v>1133</v>
      </c>
      <c r="D20" s="516" t="s">
        <v>1146</v>
      </c>
      <c r="E20" s="516" t="s">
        <v>1133</v>
      </c>
    </row>
    <row r="21" spans="1:5" x14ac:dyDescent="0.25">
      <c r="A21" s="517" t="s">
        <v>563</v>
      </c>
      <c r="B21" s="516" t="s">
        <v>1140</v>
      </c>
      <c r="C21" s="516" t="s">
        <v>1146</v>
      </c>
      <c r="D21" s="516" t="s">
        <v>1146</v>
      </c>
      <c r="E21" s="516" t="s">
        <v>1146</v>
      </c>
    </row>
    <row r="22" spans="1:5" x14ac:dyDescent="0.25">
      <c r="A22" s="518" t="s">
        <v>1128</v>
      </c>
      <c r="B22" s="516" t="s">
        <v>1141</v>
      </c>
      <c r="C22" s="516" t="s">
        <v>1146</v>
      </c>
      <c r="D22" s="516" t="s">
        <v>1146</v>
      </c>
      <c r="E22" s="516" t="s">
        <v>1146</v>
      </c>
    </row>
    <row r="23" spans="1:5" x14ac:dyDescent="0.25">
      <c r="A23" s="517" t="s">
        <v>1039</v>
      </c>
      <c r="B23" s="516" t="s">
        <v>1142</v>
      </c>
      <c r="C23" s="516" t="s">
        <v>1146</v>
      </c>
      <c r="D23" s="516" t="s">
        <v>1146</v>
      </c>
      <c r="E23" s="516" t="s">
        <v>1133</v>
      </c>
    </row>
    <row r="24" spans="1:5" x14ac:dyDescent="0.25">
      <c r="A24" s="517" t="s">
        <v>144</v>
      </c>
      <c r="B24" s="516" t="s">
        <v>1133</v>
      </c>
      <c r="C24" s="516" t="s">
        <v>1133</v>
      </c>
      <c r="D24" s="516" t="s">
        <v>1146</v>
      </c>
      <c r="E24" s="516" t="s">
        <v>1133</v>
      </c>
    </row>
    <row r="25" spans="1:5" x14ac:dyDescent="0.25">
      <c r="A25" s="520" t="s">
        <v>732</v>
      </c>
      <c r="B25" s="516" t="s">
        <v>1133</v>
      </c>
      <c r="C25" s="516" t="s">
        <v>1133</v>
      </c>
      <c r="D25" s="516" t="s">
        <v>1146</v>
      </c>
      <c r="E25" s="516" t="s">
        <v>1146</v>
      </c>
    </row>
    <row r="26" spans="1:5" x14ac:dyDescent="0.25">
      <c r="A26" s="520" t="s">
        <v>154</v>
      </c>
      <c r="B26" s="516" t="s">
        <v>1137</v>
      </c>
      <c r="C26" s="516" t="s">
        <v>1146</v>
      </c>
      <c r="D26" s="516" t="s">
        <v>1146</v>
      </c>
      <c r="E26" s="516" t="s">
        <v>1146</v>
      </c>
    </row>
    <row r="27" spans="1:5" x14ac:dyDescent="0.25">
      <c r="A27" s="519" t="s">
        <v>156</v>
      </c>
      <c r="B27" s="516" t="s">
        <v>1133</v>
      </c>
      <c r="C27" s="516" t="s">
        <v>1133</v>
      </c>
      <c r="D27" s="516" t="s">
        <v>1146</v>
      </c>
      <c r="E27" s="516" t="s">
        <v>1133</v>
      </c>
    </row>
    <row r="28" spans="1:5" x14ac:dyDescent="0.25">
      <c r="A28" s="519" t="s">
        <v>460</v>
      </c>
      <c r="B28" s="516" t="s">
        <v>1137</v>
      </c>
      <c r="C28" s="516" t="s">
        <v>1146</v>
      </c>
      <c r="D28" s="516" t="s">
        <v>1146</v>
      </c>
      <c r="E28" s="516" t="s">
        <v>1146</v>
      </c>
    </row>
    <row r="29" spans="1:5" x14ac:dyDescent="0.25">
      <c r="A29" s="519" t="s">
        <v>157</v>
      </c>
      <c r="B29" s="516" t="s">
        <v>1135</v>
      </c>
      <c r="C29" s="516" t="s">
        <v>1133</v>
      </c>
      <c r="D29" s="516" t="s">
        <v>1146</v>
      </c>
      <c r="E29" s="516" t="s">
        <v>1146</v>
      </c>
    </row>
    <row r="30" spans="1:5" x14ac:dyDescent="0.25">
      <c r="A30" s="518" t="s">
        <v>524</v>
      </c>
      <c r="B30" s="516" t="s">
        <v>1143</v>
      </c>
      <c r="C30" s="516" t="s">
        <v>1146</v>
      </c>
      <c r="D30" s="516" t="s">
        <v>1146</v>
      </c>
      <c r="E30" s="516" t="s">
        <v>1133</v>
      </c>
    </row>
    <row r="31" spans="1:5" x14ac:dyDescent="0.25">
      <c r="A31" s="519" t="s">
        <v>1038</v>
      </c>
      <c r="B31" s="516" t="s">
        <v>1144</v>
      </c>
      <c r="C31" s="516" t="s">
        <v>1146</v>
      </c>
      <c r="D31" s="516" t="s">
        <v>1146</v>
      </c>
      <c r="E31" s="516" t="s">
        <v>1133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206"/>
  <sheetViews>
    <sheetView topLeftCell="A25" workbookViewId="0">
      <selection activeCell="A21" sqref="A1:IV65536"/>
    </sheetView>
  </sheetViews>
  <sheetFormatPr defaultRowHeight="15.75" x14ac:dyDescent="0.25"/>
  <cols>
    <col min="1" max="1" width="13.85546875" style="53" customWidth="1"/>
    <col min="2" max="2" width="46.5703125" style="15" customWidth="1"/>
    <col min="3" max="3" width="13.5703125" style="19" customWidth="1"/>
    <col min="4" max="4" width="14.5703125" style="19" hidden="1" customWidth="1"/>
    <col min="5" max="5" width="5.42578125" style="15" hidden="1" customWidth="1"/>
    <col min="6" max="6" width="4.42578125" style="15" hidden="1" customWidth="1"/>
    <col min="7" max="7" width="4.85546875" style="15" hidden="1" customWidth="1"/>
    <col min="8" max="8" width="6.42578125" style="6" hidden="1" customWidth="1"/>
    <col min="9" max="9" width="5.85546875" style="20" hidden="1" customWidth="1"/>
    <col min="10" max="10" width="6.7109375" style="20" hidden="1" customWidth="1"/>
    <col min="11" max="12" width="10.140625" style="96" hidden="1" customWidth="1"/>
    <col min="13" max="13" width="9.140625" style="96" hidden="1" customWidth="1"/>
    <col min="14" max="14" width="10.5703125" style="58" hidden="1" customWidth="1"/>
    <col min="15" max="15" width="10.85546875" style="58" hidden="1" customWidth="1"/>
    <col min="16" max="16" width="11.42578125" style="58" hidden="1" customWidth="1"/>
    <col min="17" max="17" width="3.28515625" style="99" customWidth="1"/>
    <col min="18" max="20" width="11.42578125" style="109" customWidth="1"/>
    <col min="21" max="21" width="12" style="112" customWidth="1"/>
    <col min="22" max="22" width="10.7109375" style="15" hidden="1" customWidth="1"/>
    <col min="23" max="23" width="11.85546875" style="15" hidden="1" customWidth="1"/>
    <col min="24" max="24" width="9.140625" style="87" hidden="1" customWidth="1"/>
    <col min="25" max="25" width="9.140625" style="115"/>
    <col min="26" max="16384" width="9.140625" style="15"/>
  </cols>
  <sheetData>
    <row r="1" spans="1:25" ht="87" customHeight="1" x14ac:dyDescent="0.25">
      <c r="A1" s="712"/>
      <c r="B1" s="712"/>
      <c r="C1" s="712"/>
      <c r="D1" s="712"/>
      <c r="E1" s="712"/>
      <c r="F1" s="712"/>
      <c r="G1" s="712"/>
      <c r="H1" s="712"/>
      <c r="I1" s="712"/>
      <c r="J1" s="712"/>
      <c r="K1" s="712"/>
      <c r="L1" s="712"/>
      <c r="M1" s="712"/>
      <c r="N1" s="712"/>
      <c r="O1" s="712"/>
      <c r="Q1" s="62"/>
      <c r="U1" s="110"/>
      <c r="W1" s="15" t="s">
        <v>444</v>
      </c>
    </row>
    <row r="2" spans="1:25" ht="26.25" customHeight="1" x14ac:dyDescent="0.25">
      <c r="A2" s="53" t="s">
        <v>439</v>
      </c>
      <c r="B2" s="66">
        <f>DATE(2014,12,16)</f>
        <v>41989</v>
      </c>
      <c r="C2" s="57"/>
      <c r="D2" s="57"/>
      <c r="E2" s="57"/>
      <c r="F2" s="57"/>
      <c r="G2" s="57"/>
      <c r="H2" s="57"/>
      <c r="I2" s="57"/>
      <c r="J2" s="57"/>
      <c r="K2" s="91"/>
      <c r="L2" s="91"/>
      <c r="M2" s="91"/>
      <c r="N2" s="57"/>
      <c r="O2" s="57"/>
      <c r="Q2" s="62"/>
      <c r="R2" s="66">
        <f>DATE(2015,1,1)</f>
        <v>42005</v>
      </c>
      <c r="W2" s="15" t="s">
        <v>445</v>
      </c>
    </row>
    <row r="3" spans="1:25" ht="81" customHeight="1" x14ac:dyDescent="0.25">
      <c r="A3" s="54" t="s">
        <v>133</v>
      </c>
      <c r="B3" s="21" t="s">
        <v>16</v>
      </c>
      <c r="C3" s="17" t="s">
        <v>43</v>
      </c>
      <c r="D3" s="33" t="s">
        <v>298</v>
      </c>
      <c r="E3" s="22" t="s">
        <v>18</v>
      </c>
      <c r="F3" s="23" t="s">
        <v>19</v>
      </c>
      <c r="G3" s="23" t="s">
        <v>20</v>
      </c>
      <c r="H3" s="12" t="s">
        <v>17</v>
      </c>
      <c r="I3" s="24" t="s">
        <v>45</v>
      </c>
      <c r="J3" s="25" t="s">
        <v>46</v>
      </c>
      <c r="K3" s="92" t="s">
        <v>451</v>
      </c>
      <c r="L3" s="92" t="s">
        <v>452</v>
      </c>
      <c r="M3" s="92" t="s">
        <v>453</v>
      </c>
      <c r="N3" s="59" t="s">
        <v>454</v>
      </c>
      <c r="O3" s="59" t="s">
        <v>438</v>
      </c>
      <c r="P3" s="60" t="s">
        <v>368</v>
      </c>
      <c r="Q3" s="100" t="s">
        <v>455</v>
      </c>
      <c r="R3" s="225" t="s">
        <v>520</v>
      </c>
      <c r="S3" s="225" t="s">
        <v>523</v>
      </c>
      <c r="T3" s="226" t="s">
        <v>522</v>
      </c>
      <c r="U3" s="227" t="s">
        <v>521</v>
      </c>
      <c r="V3" s="74" t="s">
        <v>440</v>
      </c>
      <c r="W3" s="78" t="s">
        <v>441</v>
      </c>
      <c r="X3" s="88" t="s">
        <v>442</v>
      </c>
    </row>
    <row r="4" spans="1:25" s="26" customFormat="1" ht="12.75" x14ac:dyDescent="0.2">
      <c r="A4" s="713" t="s">
        <v>150</v>
      </c>
      <c r="B4" s="48" t="s">
        <v>21</v>
      </c>
      <c r="C4" s="49" t="s">
        <v>12</v>
      </c>
      <c r="D4" s="49"/>
      <c r="E4" s="5">
        <v>11</v>
      </c>
      <c r="F4" s="5">
        <v>0.09</v>
      </c>
      <c r="G4" s="5">
        <v>20</v>
      </c>
      <c r="H4" s="50">
        <v>0</v>
      </c>
      <c r="I4" s="5">
        <f>H4*E4</f>
        <v>0</v>
      </c>
      <c r="J4" s="51">
        <f>F4*H4</f>
        <v>0</v>
      </c>
      <c r="K4" s="93">
        <f t="shared" ref="K4:K37" si="0">N4*1.5</f>
        <v>3750</v>
      </c>
      <c r="L4" s="93">
        <f t="shared" ref="L4:L37" si="1">N4*1.1</f>
        <v>2750</v>
      </c>
      <c r="M4" s="93">
        <f t="shared" ref="M4:M37" si="2">N4*1.05</f>
        <v>2625</v>
      </c>
      <c r="N4" s="64">
        <v>2500</v>
      </c>
      <c r="O4" s="69"/>
      <c r="P4" s="130">
        <f t="shared" ref="P4:P37" si="3">N4-O4</f>
        <v>2500</v>
      </c>
      <c r="Q4" s="131"/>
      <c r="R4" s="218">
        <f t="shared" ref="R4:R37" si="4">U4*1.5</f>
        <v>4125</v>
      </c>
      <c r="S4" s="218">
        <f>U4*1.1</f>
        <v>3025.0000000000005</v>
      </c>
      <c r="T4" s="218">
        <f>U4*1.05</f>
        <v>2887.5</v>
      </c>
      <c r="U4" s="111">
        <f>N4*1.1</f>
        <v>2750</v>
      </c>
      <c r="V4" s="108"/>
      <c r="W4" s="79"/>
      <c r="X4" s="86"/>
      <c r="Y4" s="115"/>
    </row>
    <row r="5" spans="1:25" s="26" customFormat="1" ht="12.75" x14ac:dyDescent="0.2">
      <c r="A5" s="713"/>
      <c r="B5" s="48" t="s">
        <v>433</v>
      </c>
      <c r="C5" s="52" t="s">
        <v>92</v>
      </c>
      <c r="D5" s="65"/>
      <c r="E5" s="5"/>
      <c r="F5" s="5"/>
      <c r="G5" s="5"/>
      <c r="H5" s="13"/>
      <c r="I5" s="29"/>
      <c r="J5" s="63"/>
      <c r="K5" s="93">
        <f t="shared" si="0"/>
        <v>10500</v>
      </c>
      <c r="L5" s="93">
        <f t="shared" si="1"/>
        <v>7700.0000000000009</v>
      </c>
      <c r="M5" s="93">
        <f t="shared" si="2"/>
        <v>7350</v>
      </c>
      <c r="N5" s="64">
        <v>7000</v>
      </c>
      <c r="O5" s="69"/>
      <c r="P5" s="132">
        <f>N5-O5</f>
        <v>7000</v>
      </c>
      <c r="Q5" s="133"/>
      <c r="R5" s="218">
        <f t="shared" si="4"/>
        <v>11550.000000000002</v>
      </c>
      <c r="S5" s="218">
        <f t="shared" ref="S5:S38" si="5">U5*1.1</f>
        <v>8470.0000000000018</v>
      </c>
      <c r="T5" s="218">
        <f t="shared" ref="T5:T38" si="6">U5*1.05</f>
        <v>8085.0000000000009</v>
      </c>
      <c r="U5" s="111">
        <f>N5*1.1</f>
        <v>7700.0000000000009</v>
      </c>
      <c r="V5" s="108"/>
      <c r="W5" s="79"/>
      <c r="X5" s="86"/>
      <c r="Y5" s="115"/>
    </row>
    <row r="6" spans="1:25" ht="13.5" thickBot="1" x14ac:dyDescent="0.25">
      <c r="A6" s="720"/>
      <c r="B6" s="134" t="s">
        <v>434</v>
      </c>
      <c r="C6" s="135" t="s">
        <v>435</v>
      </c>
      <c r="D6" s="135"/>
      <c r="E6" s="136"/>
      <c r="F6" s="136">
        <v>0.17</v>
      </c>
      <c r="G6" s="136"/>
      <c r="H6" s="137">
        <v>0</v>
      </c>
      <c r="I6" s="136">
        <f t="shared" ref="I6:I20" si="7">H6*E6</f>
        <v>0</v>
      </c>
      <c r="J6" s="138">
        <f t="shared" ref="J6:J20" si="8">F6*H6</f>
        <v>0</v>
      </c>
      <c r="K6" s="139">
        <f t="shared" si="0"/>
        <v>7350</v>
      </c>
      <c r="L6" s="139">
        <f t="shared" si="1"/>
        <v>5390</v>
      </c>
      <c r="M6" s="139">
        <f t="shared" si="2"/>
        <v>5145</v>
      </c>
      <c r="N6" s="140">
        <v>4900</v>
      </c>
      <c r="O6" s="141"/>
      <c r="P6" s="142">
        <f t="shared" si="3"/>
        <v>4900</v>
      </c>
      <c r="Q6" s="143"/>
      <c r="R6" s="219">
        <f t="shared" si="4"/>
        <v>8085</v>
      </c>
      <c r="S6" s="219">
        <f t="shared" si="5"/>
        <v>5929.0000000000009</v>
      </c>
      <c r="T6" s="219">
        <f t="shared" si="6"/>
        <v>5659.5</v>
      </c>
      <c r="U6" s="144">
        <f>N6*1.1</f>
        <v>5390</v>
      </c>
      <c r="V6" s="108"/>
      <c r="W6" s="79"/>
      <c r="X6" s="86"/>
    </row>
    <row r="7" spans="1:25" ht="17.25" thickTop="1" thickBot="1" x14ac:dyDescent="0.3">
      <c r="A7" s="146" t="s">
        <v>151</v>
      </c>
      <c r="B7" s="147" t="s">
        <v>22</v>
      </c>
      <c r="C7" s="148" t="s">
        <v>166</v>
      </c>
      <c r="D7" s="148"/>
      <c r="E7" s="149">
        <v>0</v>
      </c>
      <c r="F7" s="150">
        <v>0</v>
      </c>
      <c r="G7" s="150" t="s">
        <v>23</v>
      </c>
      <c r="H7" s="151">
        <v>0</v>
      </c>
      <c r="I7" s="152">
        <f t="shared" si="7"/>
        <v>0</v>
      </c>
      <c r="J7" s="153">
        <f t="shared" si="8"/>
        <v>0</v>
      </c>
      <c r="K7" s="154">
        <f t="shared" si="0"/>
        <v>720</v>
      </c>
      <c r="L7" s="154">
        <f t="shared" si="1"/>
        <v>528</v>
      </c>
      <c r="M7" s="154">
        <f t="shared" si="2"/>
        <v>504</v>
      </c>
      <c r="N7" s="155">
        <v>480</v>
      </c>
      <c r="O7" s="156"/>
      <c r="P7" s="157">
        <f t="shared" si="3"/>
        <v>480</v>
      </c>
      <c r="Q7" s="158"/>
      <c r="R7" s="220">
        <f t="shared" si="4"/>
        <v>795</v>
      </c>
      <c r="S7" s="220">
        <f t="shared" si="5"/>
        <v>583</v>
      </c>
      <c r="T7" s="220">
        <f t="shared" si="6"/>
        <v>556.5</v>
      </c>
      <c r="U7" s="159">
        <v>530</v>
      </c>
      <c r="V7" s="108"/>
      <c r="W7" s="79"/>
      <c r="X7" s="86"/>
    </row>
    <row r="8" spans="1:25" ht="13.5" thickTop="1" x14ac:dyDescent="0.2">
      <c r="A8" s="717" t="s">
        <v>136</v>
      </c>
      <c r="B8" s="160" t="s">
        <v>463</v>
      </c>
      <c r="C8" s="161" t="s">
        <v>355</v>
      </c>
      <c r="D8" s="161"/>
      <c r="E8" s="162">
        <v>15</v>
      </c>
      <c r="F8" s="163">
        <v>3.0000000000000001E-3</v>
      </c>
      <c r="G8" s="163">
        <v>10</v>
      </c>
      <c r="H8" s="164">
        <v>0</v>
      </c>
      <c r="I8" s="165">
        <f t="shared" si="7"/>
        <v>0</v>
      </c>
      <c r="J8" s="166">
        <f t="shared" si="8"/>
        <v>0</v>
      </c>
      <c r="K8" s="167">
        <f t="shared" si="0"/>
        <v>17340</v>
      </c>
      <c r="L8" s="167">
        <f t="shared" si="1"/>
        <v>12716.000000000002</v>
      </c>
      <c r="M8" s="167">
        <f t="shared" si="2"/>
        <v>12138</v>
      </c>
      <c r="N8" s="168">
        <v>11560</v>
      </c>
      <c r="O8" s="169"/>
      <c r="P8" s="170">
        <f t="shared" si="3"/>
        <v>11560</v>
      </c>
      <c r="Q8" s="171"/>
      <c r="R8" s="221">
        <f t="shared" si="4"/>
        <v>19080</v>
      </c>
      <c r="S8" s="221">
        <f t="shared" si="5"/>
        <v>13992.000000000002</v>
      </c>
      <c r="T8" s="221">
        <f t="shared" si="6"/>
        <v>13356</v>
      </c>
      <c r="U8" s="172">
        <v>12720</v>
      </c>
      <c r="V8" s="108"/>
      <c r="W8" s="79"/>
      <c r="X8" s="86"/>
    </row>
    <row r="9" spans="1:25" ht="12.75" x14ac:dyDescent="0.2">
      <c r="A9" s="710"/>
      <c r="B9" s="14" t="s">
        <v>464</v>
      </c>
      <c r="C9" s="7" t="s">
        <v>82</v>
      </c>
      <c r="D9" s="7"/>
      <c r="E9" s="5">
        <v>25.5</v>
      </c>
      <c r="F9" s="3">
        <v>0.2</v>
      </c>
      <c r="G9" s="3">
        <v>6</v>
      </c>
      <c r="H9" s="13">
        <v>0</v>
      </c>
      <c r="I9" s="29">
        <f t="shared" si="7"/>
        <v>0</v>
      </c>
      <c r="J9" s="30">
        <f t="shared" si="8"/>
        <v>0</v>
      </c>
      <c r="K9" s="93">
        <f t="shared" si="0"/>
        <v>13200</v>
      </c>
      <c r="L9" s="93">
        <f t="shared" si="1"/>
        <v>9680</v>
      </c>
      <c r="M9" s="93">
        <f t="shared" si="2"/>
        <v>9240</v>
      </c>
      <c r="N9" s="64">
        <v>8800</v>
      </c>
      <c r="O9" s="69"/>
      <c r="P9" s="132">
        <f t="shared" si="3"/>
        <v>8800</v>
      </c>
      <c r="Q9" s="133"/>
      <c r="R9" s="218">
        <f t="shared" si="4"/>
        <v>15180</v>
      </c>
      <c r="S9" s="218">
        <f t="shared" si="5"/>
        <v>11132</v>
      </c>
      <c r="T9" s="218">
        <f t="shared" si="6"/>
        <v>10626</v>
      </c>
      <c r="U9" s="111">
        <v>10120</v>
      </c>
      <c r="V9" s="108"/>
      <c r="W9" s="79"/>
      <c r="X9" s="86"/>
    </row>
    <row r="10" spans="1:25" ht="26.25" thickBot="1" x14ac:dyDescent="0.25">
      <c r="A10" s="718"/>
      <c r="B10" s="173" t="s">
        <v>465</v>
      </c>
      <c r="C10" s="174" t="s">
        <v>96</v>
      </c>
      <c r="D10" s="175" t="s">
        <v>284</v>
      </c>
      <c r="E10" s="176">
        <v>37.5</v>
      </c>
      <c r="F10" s="176">
        <v>0.25</v>
      </c>
      <c r="G10" s="177"/>
      <c r="H10" s="178">
        <v>0</v>
      </c>
      <c r="I10" s="179">
        <f t="shared" si="7"/>
        <v>0</v>
      </c>
      <c r="J10" s="180">
        <f t="shared" si="8"/>
        <v>0</v>
      </c>
      <c r="K10" s="139">
        <f t="shared" si="0"/>
        <v>24750</v>
      </c>
      <c r="L10" s="139">
        <f t="shared" si="1"/>
        <v>18150</v>
      </c>
      <c r="M10" s="139">
        <f t="shared" si="2"/>
        <v>17325</v>
      </c>
      <c r="N10" s="140">
        <v>16500</v>
      </c>
      <c r="O10" s="141">
        <v>12553.2</v>
      </c>
      <c r="P10" s="142">
        <f t="shared" si="3"/>
        <v>3946.7999999999993</v>
      </c>
      <c r="Q10" s="143"/>
      <c r="R10" s="219">
        <f t="shared" si="4"/>
        <v>28462.5</v>
      </c>
      <c r="S10" s="219">
        <f t="shared" si="5"/>
        <v>20872.5</v>
      </c>
      <c r="T10" s="219">
        <f t="shared" si="6"/>
        <v>19923.75</v>
      </c>
      <c r="U10" s="144">
        <v>18975</v>
      </c>
      <c r="V10" s="108">
        <f>O10*1.1</f>
        <v>13808.520000000002</v>
      </c>
      <c r="W10" s="79">
        <f>U10-V10</f>
        <v>5166.4799999999977</v>
      </c>
      <c r="X10" s="86">
        <v>4030</v>
      </c>
    </row>
    <row r="11" spans="1:25" ht="13.5" thickTop="1" x14ac:dyDescent="0.2">
      <c r="A11" s="717" t="s">
        <v>135</v>
      </c>
      <c r="B11" s="160" t="s">
        <v>466</v>
      </c>
      <c r="C11" s="181" t="s">
        <v>81</v>
      </c>
      <c r="D11" s="181"/>
      <c r="E11" s="162">
        <v>32</v>
      </c>
      <c r="F11" s="163">
        <v>0.25</v>
      </c>
      <c r="G11" s="163">
        <v>6</v>
      </c>
      <c r="H11" s="164">
        <v>0</v>
      </c>
      <c r="I11" s="165">
        <f t="shared" si="7"/>
        <v>0</v>
      </c>
      <c r="J11" s="166">
        <f t="shared" si="8"/>
        <v>0</v>
      </c>
      <c r="K11" s="167">
        <f t="shared" si="0"/>
        <v>7650</v>
      </c>
      <c r="L11" s="167">
        <f t="shared" si="1"/>
        <v>5610</v>
      </c>
      <c r="M11" s="167">
        <f t="shared" si="2"/>
        <v>5355</v>
      </c>
      <c r="N11" s="168">
        <v>5100</v>
      </c>
      <c r="O11" s="169"/>
      <c r="P11" s="170">
        <f t="shared" si="3"/>
        <v>5100</v>
      </c>
      <c r="Q11" s="171"/>
      <c r="R11" s="221">
        <f t="shared" si="4"/>
        <v>8415</v>
      </c>
      <c r="S11" s="221">
        <f t="shared" si="5"/>
        <v>6171.0000000000009</v>
      </c>
      <c r="T11" s="221">
        <f t="shared" si="6"/>
        <v>5890.5</v>
      </c>
      <c r="U11" s="172">
        <f t="shared" ref="U11:U46" si="9">N11*1.1</f>
        <v>5610</v>
      </c>
      <c r="V11" s="108"/>
      <c r="W11" s="79"/>
      <c r="X11" s="86"/>
    </row>
    <row r="12" spans="1:25" ht="12.75" x14ac:dyDescent="0.2">
      <c r="A12" s="710"/>
      <c r="B12" s="14" t="s">
        <v>467</v>
      </c>
      <c r="C12" s="7" t="s">
        <v>92</v>
      </c>
      <c r="D12" s="44" t="s">
        <v>281</v>
      </c>
      <c r="E12" s="5">
        <v>17.5</v>
      </c>
      <c r="F12" s="3">
        <v>0.16</v>
      </c>
      <c r="G12" s="3"/>
      <c r="H12" s="13">
        <v>0</v>
      </c>
      <c r="I12" s="29">
        <f t="shared" si="7"/>
        <v>0</v>
      </c>
      <c r="J12" s="30">
        <f t="shared" si="8"/>
        <v>0</v>
      </c>
      <c r="K12" s="93">
        <f t="shared" si="0"/>
        <v>8175</v>
      </c>
      <c r="L12" s="93">
        <f t="shared" si="1"/>
        <v>5995.0000000000009</v>
      </c>
      <c r="M12" s="93">
        <f t="shared" si="2"/>
        <v>5722.5</v>
      </c>
      <c r="N12" s="64">
        <v>5450</v>
      </c>
      <c r="O12" s="69">
        <v>2889.9</v>
      </c>
      <c r="P12" s="132">
        <f t="shared" si="3"/>
        <v>2560.1</v>
      </c>
      <c r="Q12" s="133"/>
      <c r="R12" s="218">
        <f t="shared" si="4"/>
        <v>8992.5000000000018</v>
      </c>
      <c r="S12" s="218">
        <f t="shared" si="5"/>
        <v>6594.5000000000018</v>
      </c>
      <c r="T12" s="218">
        <f t="shared" si="6"/>
        <v>6294.7500000000009</v>
      </c>
      <c r="U12" s="111">
        <f t="shared" si="9"/>
        <v>5995.0000000000009</v>
      </c>
      <c r="V12" s="108">
        <f t="shared" ref="V12:V17" si="10">O12*1.1</f>
        <v>3178.8900000000003</v>
      </c>
      <c r="W12" s="79">
        <f t="shared" ref="W12:W17" si="11">U12-V12</f>
        <v>2816.1100000000006</v>
      </c>
      <c r="X12" s="86">
        <v>2293</v>
      </c>
    </row>
    <row r="13" spans="1:25" ht="12.75" x14ac:dyDescent="0.2">
      <c r="A13" s="710"/>
      <c r="B13" s="14" t="s">
        <v>468</v>
      </c>
      <c r="C13" s="7" t="s">
        <v>92</v>
      </c>
      <c r="D13" s="44" t="s">
        <v>281</v>
      </c>
      <c r="E13" s="5">
        <v>17.5</v>
      </c>
      <c r="F13" s="3">
        <v>0.16</v>
      </c>
      <c r="G13" s="3"/>
      <c r="H13" s="13">
        <v>0</v>
      </c>
      <c r="I13" s="29">
        <f t="shared" si="7"/>
        <v>0</v>
      </c>
      <c r="J13" s="30">
        <f t="shared" si="8"/>
        <v>0</v>
      </c>
      <c r="K13" s="93">
        <f t="shared" si="0"/>
        <v>8775</v>
      </c>
      <c r="L13" s="93">
        <f t="shared" si="1"/>
        <v>6435.0000000000009</v>
      </c>
      <c r="M13" s="93">
        <f t="shared" si="2"/>
        <v>6142.5</v>
      </c>
      <c r="N13" s="64">
        <v>5850</v>
      </c>
      <c r="O13" s="69">
        <v>3289.9</v>
      </c>
      <c r="P13" s="132">
        <f t="shared" si="3"/>
        <v>2560.1</v>
      </c>
      <c r="Q13" s="133"/>
      <c r="R13" s="218">
        <f t="shared" si="4"/>
        <v>9652.5000000000018</v>
      </c>
      <c r="S13" s="218">
        <f t="shared" si="5"/>
        <v>7078.5000000000018</v>
      </c>
      <c r="T13" s="218">
        <f t="shared" si="6"/>
        <v>6756.7500000000009</v>
      </c>
      <c r="U13" s="111">
        <f t="shared" si="9"/>
        <v>6435.0000000000009</v>
      </c>
      <c r="V13" s="108">
        <f t="shared" si="10"/>
        <v>3618.8900000000003</v>
      </c>
      <c r="W13" s="79">
        <f t="shared" si="11"/>
        <v>2816.1100000000006</v>
      </c>
      <c r="X13" s="86">
        <v>2293</v>
      </c>
    </row>
    <row r="14" spans="1:25" ht="12.75" x14ac:dyDescent="0.2">
      <c r="A14" s="710"/>
      <c r="B14" s="14" t="s">
        <v>469</v>
      </c>
      <c r="C14" s="7" t="s">
        <v>94</v>
      </c>
      <c r="D14" s="44" t="s">
        <v>282</v>
      </c>
      <c r="E14" s="5">
        <v>19</v>
      </c>
      <c r="F14" s="3">
        <v>0.19</v>
      </c>
      <c r="G14" s="3"/>
      <c r="H14" s="13">
        <v>0</v>
      </c>
      <c r="I14" s="29">
        <f t="shared" si="7"/>
        <v>0</v>
      </c>
      <c r="J14" s="30">
        <f t="shared" si="8"/>
        <v>0</v>
      </c>
      <c r="K14" s="93">
        <f t="shared" si="0"/>
        <v>9150</v>
      </c>
      <c r="L14" s="93">
        <f t="shared" si="1"/>
        <v>6710.0000000000009</v>
      </c>
      <c r="M14" s="93">
        <f t="shared" si="2"/>
        <v>6405</v>
      </c>
      <c r="N14" s="64">
        <v>6100</v>
      </c>
      <c r="O14" s="69">
        <v>3030.1439999999998</v>
      </c>
      <c r="P14" s="132">
        <f t="shared" si="3"/>
        <v>3069.8560000000002</v>
      </c>
      <c r="Q14" s="133"/>
      <c r="R14" s="218">
        <f t="shared" si="4"/>
        <v>10065.000000000002</v>
      </c>
      <c r="S14" s="218">
        <f t="shared" si="5"/>
        <v>7381.0000000000018</v>
      </c>
      <c r="T14" s="218">
        <f t="shared" si="6"/>
        <v>7045.5000000000009</v>
      </c>
      <c r="U14" s="111">
        <f t="shared" si="9"/>
        <v>6710.0000000000009</v>
      </c>
      <c r="V14" s="108">
        <f t="shared" si="10"/>
        <v>3333.1583999999998</v>
      </c>
      <c r="W14" s="79">
        <f t="shared" si="11"/>
        <v>3376.8416000000011</v>
      </c>
      <c r="X14" s="86">
        <v>2736</v>
      </c>
    </row>
    <row r="15" spans="1:25" ht="12.75" x14ac:dyDescent="0.2">
      <c r="A15" s="710"/>
      <c r="B15" s="14" t="s">
        <v>470</v>
      </c>
      <c r="C15" s="7" t="s">
        <v>94</v>
      </c>
      <c r="D15" s="44" t="s">
        <v>282</v>
      </c>
      <c r="E15" s="5">
        <v>19</v>
      </c>
      <c r="F15" s="3">
        <v>0.19</v>
      </c>
      <c r="G15" s="3"/>
      <c r="H15" s="13">
        <v>0</v>
      </c>
      <c r="I15" s="29">
        <f t="shared" si="7"/>
        <v>0</v>
      </c>
      <c r="J15" s="30">
        <f t="shared" si="8"/>
        <v>0</v>
      </c>
      <c r="K15" s="93">
        <f t="shared" si="0"/>
        <v>9750</v>
      </c>
      <c r="L15" s="93">
        <f t="shared" si="1"/>
        <v>7150.0000000000009</v>
      </c>
      <c r="M15" s="93">
        <f t="shared" si="2"/>
        <v>6825</v>
      </c>
      <c r="N15" s="64">
        <v>6500</v>
      </c>
      <c r="O15" s="69">
        <v>3430.1439999999998</v>
      </c>
      <c r="P15" s="132">
        <f t="shared" si="3"/>
        <v>3069.8560000000002</v>
      </c>
      <c r="Q15" s="133"/>
      <c r="R15" s="218">
        <f t="shared" si="4"/>
        <v>10725.000000000002</v>
      </c>
      <c r="S15" s="218">
        <f t="shared" si="5"/>
        <v>7865.0000000000018</v>
      </c>
      <c r="T15" s="218">
        <f t="shared" si="6"/>
        <v>7507.5000000000009</v>
      </c>
      <c r="U15" s="111">
        <f t="shared" si="9"/>
        <v>7150.0000000000009</v>
      </c>
      <c r="V15" s="108">
        <f t="shared" si="10"/>
        <v>3773.1584000000003</v>
      </c>
      <c r="W15" s="79">
        <f t="shared" si="11"/>
        <v>3376.8416000000007</v>
      </c>
      <c r="X15" s="86">
        <v>2736</v>
      </c>
    </row>
    <row r="16" spans="1:25" ht="12.75" x14ac:dyDescent="0.2">
      <c r="A16" s="710"/>
      <c r="B16" s="14" t="s">
        <v>471</v>
      </c>
      <c r="C16" s="7" t="s">
        <v>95</v>
      </c>
      <c r="D16" s="44" t="s">
        <v>283</v>
      </c>
      <c r="E16" s="5">
        <v>21</v>
      </c>
      <c r="F16" s="3">
        <v>0.2</v>
      </c>
      <c r="G16" s="3"/>
      <c r="H16" s="13">
        <v>0</v>
      </c>
      <c r="I16" s="29">
        <f t="shared" si="7"/>
        <v>0</v>
      </c>
      <c r="J16" s="30">
        <f t="shared" si="8"/>
        <v>0</v>
      </c>
      <c r="K16" s="93">
        <f t="shared" si="0"/>
        <v>11250</v>
      </c>
      <c r="L16" s="93">
        <f t="shared" si="1"/>
        <v>8250</v>
      </c>
      <c r="M16" s="93">
        <f t="shared" si="2"/>
        <v>7875</v>
      </c>
      <c r="N16" s="64">
        <v>7500</v>
      </c>
      <c r="O16" s="69">
        <v>3556.7</v>
      </c>
      <c r="P16" s="132">
        <f t="shared" si="3"/>
        <v>3943.3</v>
      </c>
      <c r="Q16" s="133"/>
      <c r="R16" s="218">
        <f t="shared" si="4"/>
        <v>12375</v>
      </c>
      <c r="S16" s="218">
        <f t="shared" si="5"/>
        <v>9075</v>
      </c>
      <c r="T16" s="218">
        <f t="shared" si="6"/>
        <v>8662.5</v>
      </c>
      <c r="U16" s="111">
        <f t="shared" si="9"/>
        <v>8250</v>
      </c>
      <c r="V16" s="108">
        <f t="shared" si="10"/>
        <v>3912.37</v>
      </c>
      <c r="W16" s="79">
        <f t="shared" si="11"/>
        <v>4337.63</v>
      </c>
      <c r="X16" s="86">
        <v>3429</v>
      </c>
    </row>
    <row r="17" spans="1:24" ht="13.5" thickBot="1" x14ac:dyDescent="0.25">
      <c r="A17" s="718"/>
      <c r="B17" s="173" t="s">
        <v>472</v>
      </c>
      <c r="C17" s="174" t="s">
        <v>95</v>
      </c>
      <c r="D17" s="175" t="s">
        <v>283</v>
      </c>
      <c r="E17" s="136">
        <v>21</v>
      </c>
      <c r="F17" s="176">
        <v>0.2</v>
      </c>
      <c r="G17" s="176"/>
      <c r="H17" s="178">
        <v>0</v>
      </c>
      <c r="I17" s="179">
        <f t="shared" si="7"/>
        <v>0</v>
      </c>
      <c r="J17" s="180">
        <f t="shared" si="8"/>
        <v>0</v>
      </c>
      <c r="K17" s="139">
        <f t="shared" si="0"/>
        <v>11850</v>
      </c>
      <c r="L17" s="139">
        <f t="shared" si="1"/>
        <v>8690</v>
      </c>
      <c r="M17" s="139">
        <f t="shared" si="2"/>
        <v>8295</v>
      </c>
      <c r="N17" s="140">
        <v>7900</v>
      </c>
      <c r="O17" s="141">
        <v>3956.7</v>
      </c>
      <c r="P17" s="142">
        <f t="shared" si="3"/>
        <v>3943.3</v>
      </c>
      <c r="Q17" s="143"/>
      <c r="R17" s="219">
        <f t="shared" si="4"/>
        <v>13035</v>
      </c>
      <c r="S17" s="219">
        <f t="shared" si="5"/>
        <v>9559</v>
      </c>
      <c r="T17" s="219">
        <f t="shared" si="6"/>
        <v>9124.5</v>
      </c>
      <c r="U17" s="144">
        <f t="shared" si="9"/>
        <v>8690</v>
      </c>
      <c r="V17" s="108">
        <f t="shared" si="10"/>
        <v>4352.37</v>
      </c>
      <c r="W17" s="79">
        <f t="shared" si="11"/>
        <v>4337.63</v>
      </c>
      <c r="X17" s="86">
        <v>3429</v>
      </c>
    </row>
    <row r="18" spans="1:24" ht="13.5" thickTop="1" x14ac:dyDescent="0.2">
      <c r="A18" s="717" t="s">
        <v>149</v>
      </c>
      <c r="B18" s="160" t="s">
        <v>24</v>
      </c>
      <c r="C18" s="161" t="s">
        <v>6</v>
      </c>
      <c r="D18" s="161"/>
      <c r="E18" s="162">
        <v>12.5</v>
      </c>
      <c r="F18" s="163">
        <v>9.5000000000000001E-2</v>
      </c>
      <c r="G18" s="163">
        <v>10</v>
      </c>
      <c r="H18" s="164">
        <v>0</v>
      </c>
      <c r="I18" s="165">
        <f t="shared" si="7"/>
        <v>0</v>
      </c>
      <c r="J18" s="166">
        <f t="shared" si="8"/>
        <v>0</v>
      </c>
      <c r="K18" s="167">
        <f t="shared" si="0"/>
        <v>3525</v>
      </c>
      <c r="L18" s="167">
        <f t="shared" si="1"/>
        <v>2585</v>
      </c>
      <c r="M18" s="167">
        <f t="shared" si="2"/>
        <v>2467.5</v>
      </c>
      <c r="N18" s="168">
        <v>2350</v>
      </c>
      <c r="O18" s="169"/>
      <c r="P18" s="170">
        <f t="shared" si="3"/>
        <v>2350</v>
      </c>
      <c r="Q18" s="171"/>
      <c r="R18" s="221">
        <f t="shared" si="4"/>
        <v>3877.5</v>
      </c>
      <c r="S18" s="221">
        <f t="shared" si="5"/>
        <v>2843.5000000000005</v>
      </c>
      <c r="T18" s="221">
        <f t="shared" si="6"/>
        <v>2714.25</v>
      </c>
      <c r="U18" s="172">
        <f t="shared" si="9"/>
        <v>2585</v>
      </c>
      <c r="V18" s="108"/>
      <c r="W18" s="79"/>
      <c r="X18" s="86"/>
    </row>
    <row r="19" spans="1:24" ht="12.75" x14ac:dyDescent="0.2">
      <c r="A19" s="710"/>
      <c r="B19" s="14" t="s">
        <v>25</v>
      </c>
      <c r="C19" s="8" t="s">
        <v>7</v>
      </c>
      <c r="D19" s="8"/>
      <c r="E19" s="5">
        <v>14.5</v>
      </c>
      <c r="F19" s="3">
        <v>0.09</v>
      </c>
      <c r="G19" s="3">
        <v>10</v>
      </c>
      <c r="H19" s="13">
        <v>0</v>
      </c>
      <c r="I19" s="29">
        <f t="shared" si="7"/>
        <v>0</v>
      </c>
      <c r="J19" s="30">
        <f t="shared" si="8"/>
        <v>0</v>
      </c>
      <c r="K19" s="93">
        <f t="shared" si="0"/>
        <v>3750</v>
      </c>
      <c r="L19" s="93">
        <f t="shared" si="1"/>
        <v>2750</v>
      </c>
      <c r="M19" s="93">
        <f t="shared" si="2"/>
        <v>2625</v>
      </c>
      <c r="N19" s="64">
        <v>2500</v>
      </c>
      <c r="O19" s="69"/>
      <c r="P19" s="132">
        <f t="shared" si="3"/>
        <v>2500</v>
      </c>
      <c r="Q19" s="133"/>
      <c r="R19" s="218">
        <f t="shared" si="4"/>
        <v>4125</v>
      </c>
      <c r="S19" s="218">
        <f t="shared" si="5"/>
        <v>3025.0000000000005</v>
      </c>
      <c r="T19" s="218">
        <f t="shared" si="6"/>
        <v>2887.5</v>
      </c>
      <c r="U19" s="111">
        <f t="shared" si="9"/>
        <v>2750</v>
      </c>
      <c r="V19" s="108"/>
      <c r="W19" s="79"/>
      <c r="X19" s="86"/>
    </row>
    <row r="20" spans="1:24" ht="13.5" thickBot="1" x14ac:dyDescent="0.25">
      <c r="A20" s="718"/>
      <c r="B20" s="173" t="s">
        <v>26</v>
      </c>
      <c r="C20" s="182" t="s">
        <v>8</v>
      </c>
      <c r="D20" s="182"/>
      <c r="E20" s="136">
        <v>16</v>
      </c>
      <c r="F20" s="176">
        <v>0.12</v>
      </c>
      <c r="G20" s="176">
        <v>10</v>
      </c>
      <c r="H20" s="178">
        <v>0</v>
      </c>
      <c r="I20" s="179">
        <f t="shared" si="7"/>
        <v>0</v>
      </c>
      <c r="J20" s="180">
        <f t="shared" si="8"/>
        <v>0</v>
      </c>
      <c r="K20" s="139">
        <f t="shared" si="0"/>
        <v>4050</v>
      </c>
      <c r="L20" s="139">
        <f t="shared" si="1"/>
        <v>2970.0000000000005</v>
      </c>
      <c r="M20" s="139">
        <f t="shared" si="2"/>
        <v>2835</v>
      </c>
      <c r="N20" s="140">
        <v>2700</v>
      </c>
      <c r="O20" s="141"/>
      <c r="P20" s="142">
        <f t="shared" si="3"/>
        <v>2700</v>
      </c>
      <c r="Q20" s="143"/>
      <c r="R20" s="219">
        <f t="shared" si="4"/>
        <v>4455.0000000000009</v>
      </c>
      <c r="S20" s="219">
        <f t="shared" si="5"/>
        <v>3267.0000000000009</v>
      </c>
      <c r="T20" s="219">
        <f t="shared" si="6"/>
        <v>3118.5000000000005</v>
      </c>
      <c r="U20" s="144">
        <f t="shared" si="9"/>
        <v>2970.0000000000005</v>
      </c>
      <c r="V20" s="108"/>
      <c r="W20" s="79"/>
      <c r="X20" s="86"/>
    </row>
    <row r="21" spans="1:24" ht="12.75" customHeight="1" thickTop="1" x14ac:dyDescent="0.2">
      <c r="A21" s="724" t="s">
        <v>304</v>
      </c>
      <c r="B21" s="160" t="s">
        <v>473</v>
      </c>
      <c r="C21" s="183" t="s">
        <v>443</v>
      </c>
      <c r="D21" s="183"/>
      <c r="E21" s="184">
        <v>6</v>
      </c>
      <c r="F21" s="163">
        <v>9.5000000000000001E-2</v>
      </c>
      <c r="G21" s="185">
        <v>10</v>
      </c>
      <c r="H21" s="164">
        <v>0</v>
      </c>
      <c r="I21" s="186"/>
      <c r="J21" s="187"/>
      <c r="K21" s="188">
        <f t="shared" si="0"/>
        <v>2250</v>
      </c>
      <c r="L21" s="188">
        <f t="shared" si="1"/>
        <v>1650.0000000000002</v>
      </c>
      <c r="M21" s="188">
        <f t="shared" si="2"/>
        <v>1575</v>
      </c>
      <c r="N21" s="168">
        <v>1500</v>
      </c>
      <c r="O21" s="169"/>
      <c r="P21" s="170">
        <f t="shared" si="3"/>
        <v>1500</v>
      </c>
      <c r="Q21" s="171"/>
      <c r="R21" s="221">
        <f t="shared" si="4"/>
        <v>2625</v>
      </c>
      <c r="S21" s="221">
        <f t="shared" si="5"/>
        <v>1925.0000000000002</v>
      </c>
      <c r="T21" s="221">
        <f t="shared" si="6"/>
        <v>1837.5</v>
      </c>
      <c r="U21" s="172">
        <v>1750</v>
      </c>
      <c r="V21" s="108"/>
      <c r="W21" s="79"/>
      <c r="X21" s="86"/>
    </row>
    <row r="22" spans="1:24" ht="12.75" customHeight="1" x14ac:dyDescent="0.2">
      <c r="A22" s="715"/>
      <c r="B22" s="14" t="s">
        <v>474</v>
      </c>
      <c r="C22" s="35" t="s">
        <v>447</v>
      </c>
      <c r="D22" s="35"/>
      <c r="E22" s="36"/>
      <c r="F22" s="34"/>
      <c r="G22" s="34"/>
      <c r="H22" s="37"/>
      <c r="I22" s="38"/>
      <c r="J22" s="81"/>
      <c r="K22" s="94">
        <f t="shared" si="0"/>
        <v>6300</v>
      </c>
      <c r="L22" s="94">
        <f t="shared" si="1"/>
        <v>4620</v>
      </c>
      <c r="M22" s="94">
        <f t="shared" si="2"/>
        <v>4410</v>
      </c>
      <c r="N22" s="82">
        <v>4200</v>
      </c>
      <c r="O22" s="83"/>
      <c r="P22" s="189">
        <f>N22-O22</f>
        <v>4200</v>
      </c>
      <c r="Q22" s="190"/>
      <c r="R22" s="218">
        <f t="shared" si="4"/>
        <v>6930</v>
      </c>
      <c r="S22" s="218">
        <f t="shared" si="5"/>
        <v>5082</v>
      </c>
      <c r="T22" s="218">
        <f t="shared" si="6"/>
        <v>4851</v>
      </c>
      <c r="U22" s="111">
        <f t="shared" si="9"/>
        <v>4620</v>
      </c>
      <c r="V22" s="108">
        <f>O22*1.1</f>
        <v>0</v>
      </c>
      <c r="W22" s="89">
        <f>U22-V22</f>
        <v>4620</v>
      </c>
      <c r="X22" s="90"/>
    </row>
    <row r="23" spans="1:24" ht="12.75" customHeight="1" x14ac:dyDescent="0.2">
      <c r="A23" s="715"/>
      <c r="B23" s="14" t="s">
        <v>475</v>
      </c>
      <c r="C23" s="35" t="s">
        <v>84</v>
      </c>
      <c r="D23" s="35"/>
      <c r="E23" s="36">
        <v>34</v>
      </c>
      <c r="F23" s="34">
        <v>0.2</v>
      </c>
      <c r="G23" s="34">
        <v>6</v>
      </c>
      <c r="H23" s="13">
        <v>0</v>
      </c>
      <c r="I23" s="29">
        <f>H23*E23</f>
        <v>0</v>
      </c>
      <c r="J23" s="30">
        <f>F23*H23</f>
        <v>0</v>
      </c>
      <c r="K23" s="93">
        <f t="shared" si="0"/>
        <v>9450</v>
      </c>
      <c r="L23" s="93">
        <f t="shared" si="1"/>
        <v>6930.0000000000009</v>
      </c>
      <c r="M23" s="93">
        <f t="shared" si="2"/>
        <v>6615</v>
      </c>
      <c r="N23" s="64">
        <v>6300</v>
      </c>
      <c r="O23" s="69"/>
      <c r="P23" s="132">
        <f t="shared" si="3"/>
        <v>6300</v>
      </c>
      <c r="Q23" s="133"/>
      <c r="R23" s="218">
        <f t="shared" si="4"/>
        <v>10395.000000000002</v>
      </c>
      <c r="S23" s="218">
        <f t="shared" si="5"/>
        <v>7623.0000000000018</v>
      </c>
      <c r="T23" s="218">
        <f t="shared" si="6"/>
        <v>7276.5000000000009</v>
      </c>
      <c r="U23" s="111">
        <f t="shared" si="9"/>
        <v>6930.0000000000009</v>
      </c>
      <c r="V23" s="108"/>
      <c r="W23" s="79"/>
      <c r="X23" s="86"/>
    </row>
    <row r="24" spans="1:24" ht="12.75" customHeight="1" x14ac:dyDescent="0.2">
      <c r="A24" s="715"/>
      <c r="B24" s="14" t="s">
        <v>476</v>
      </c>
      <c r="C24" s="7" t="s">
        <v>305</v>
      </c>
      <c r="D24" s="40" t="s">
        <v>306</v>
      </c>
      <c r="E24" s="36">
        <v>16.2</v>
      </c>
      <c r="F24" s="34">
        <v>0.2</v>
      </c>
      <c r="G24" s="34"/>
      <c r="H24" s="13">
        <v>0</v>
      </c>
      <c r="I24" s="29">
        <f t="shared" ref="I24:I76" si="12">H24*E24</f>
        <v>0</v>
      </c>
      <c r="J24" s="30">
        <f t="shared" ref="J24:J76" si="13">F24*H24</f>
        <v>0</v>
      </c>
      <c r="K24" s="93">
        <f t="shared" si="0"/>
        <v>7125</v>
      </c>
      <c r="L24" s="93">
        <f t="shared" si="1"/>
        <v>5225</v>
      </c>
      <c r="M24" s="93">
        <f t="shared" si="2"/>
        <v>4987.5</v>
      </c>
      <c r="N24" s="64">
        <v>4750</v>
      </c>
      <c r="O24" s="69">
        <v>3630</v>
      </c>
      <c r="P24" s="132">
        <f t="shared" si="3"/>
        <v>1120</v>
      </c>
      <c r="Q24" s="133"/>
      <c r="R24" s="218">
        <f t="shared" si="4"/>
        <v>8175</v>
      </c>
      <c r="S24" s="218">
        <f t="shared" si="5"/>
        <v>5995.0000000000009</v>
      </c>
      <c r="T24" s="218">
        <f t="shared" si="6"/>
        <v>5722.5</v>
      </c>
      <c r="U24" s="111">
        <v>5450</v>
      </c>
      <c r="V24" s="108">
        <f>O24*1.1</f>
        <v>3993.0000000000005</v>
      </c>
      <c r="W24" s="79">
        <f>U24-V24</f>
        <v>1456.9999999999995</v>
      </c>
      <c r="X24" s="86">
        <v>725</v>
      </c>
    </row>
    <row r="25" spans="1:24" ht="15.75" customHeight="1" thickBot="1" x14ac:dyDescent="0.25">
      <c r="A25" s="725"/>
      <c r="B25" s="173" t="s">
        <v>477</v>
      </c>
      <c r="C25" s="174" t="s">
        <v>449</v>
      </c>
      <c r="D25" s="191" t="s">
        <v>450</v>
      </c>
      <c r="E25" s="192"/>
      <c r="F25" s="177"/>
      <c r="G25" s="177"/>
      <c r="H25" s="193"/>
      <c r="I25" s="194"/>
      <c r="J25" s="195"/>
      <c r="K25" s="196">
        <f t="shared" si="0"/>
        <v>14250</v>
      </c>
      <c r="L25" s="196">
        <f t="shared" si="1"/>
        <v>10450</v>
      </c>
      <c r="M25" s="196">
        <f t="shared" si="2"/>
        <v>9975</v>
      </c>
      <c r="N25" s="197">
        <v>9500</v>
      </c>
      <c r="O25" s="198"/>
      <c r="P25" s="199">
        <f>N25-O25</f>
        <v>9500</v>
      </c>
      <c r="Q25" s="200"/>
      <c r="R25" s="219">
        <f t="shared" si="4"/>
        <v>15675</v>
      </c>
      <c r="S25" s="219">
        <f t="shared" si="5"/>
        <v>11495.000000000002</v>
      </c>
      <c r="T25" s="219">
        <f t="shared" si="6"/>
        <v>10972.5</v>
      </c>
      <c r="U25" s="144">
        <f t="shared" si="9"/>
        <v>10450</v>
      </c>
      <c r="V25" s="108">
        <f>O25*1.1</f>
        <v>0</v>
      </c>
      <c r="W25" s="89">
        <f>U25-V25</f>
        <v>10450</v>
      </c>
      <c r="X25" s="90"/>
    </row>
    <row r="26" spans="1:24" ht="13.5" thickTop="1" x14ac:dyDescent="0.2">
      <c r="A26" s="717" t="s">
        <v>134</v>
      </c>
      <c r="B26" s="160" t="s">
        <v>42</v>
      </c>
      <c r="C26" s="181" t="s">
        <v>61</v>
      </c>
      <c r="D26" s="181"/>
      <c r="E26" s="162">
        <v>7</v>
      </c>
      <c r="F26" s="163"/>
      <c r="G26" s="163"/>
      <c r="H26" s="164">
        <v>0</v>
      </c>
      <c r="I26" s="165">
        <f t="shared" si="12"/>
        <v>0</v>
      </c>
      <c r="J26" s="166">
        <f t="shared" si="13"/>
        <v>0</v>
      </c>
      <c r="K26" s="167">
        <f t="shared" si="0"/>
        <v>2775</v>
      </c>
      <c r="L26" s="167">
        <f t="shared" si="1"/>
        <v>2035.0000000000002</v>
      </c>
      <c r="M26" s="167">
        <f t="shared" si="2"/>
        <v>1942.5</v>
      </c>
      <c r="N26" s="168">
        <v>1850</v>
      </c>
      <c r="O26" s="169"/>
      <c r="P26" s="170">
        <f t="shared" si="3"/>
        <v>1850</v>
      </c>
      <c r="Q26" s="171"/>
      <c r="R26" s="221">
        <f t="shared" si="4"/>
        <v>3202.5</v>
      </c>
      <c r="S26" s="221">
        <f t="shared" si="5"/>
        <v>2348.5</v>
      </c>
      <c r="T26" s="221">
        <f t="shared" si="6"/>
        <v>2241.75</v>
      </c>
      <c r="U26" s="172">
        <v>2135</v>
      </c>
      <c r="V26" s="108"/>
      <c r="W26" s="79"/>
      <c r="X26" s="86"/>
    </row>
    <row r="27" spans="1:24" ht="12.75" x14ac:dyDescent="0.2">
      <c r="A27" s="710"/>
      <c r="B27" s="14" t="s">
        <v>393</v>
      </c>
      <c r="C27" s="7" t="s">
        <v>80</v>
      </c>
      <c r="D27" s="7"/>
      <c r="E27" s="5">
        <v>32</v>
      </c>
      <c r="F27" s="3">
        <v>0.23</v>
      </c>
      <c r="G27" s="3">
        <v>6</v>
      </c>
      <c r="H27" s="13">
        <v>0</v>
      </c>
      <c r="I27" s="29">
        <f t="shared" si="12"/>
        <v>0</v>
      </c>
      <c r="J27" s="30">
        <f t="shared" si="13"/>
        <v>0</v>
      </c>
      <c r="K27" s="93">
        <f t="shared" si="0"/>
        <v>8775</v>
      </c>
      <c r="L27" s="93">
        <f t="shared" si="1"/>
        <v>6435.0000000000009</v>
      </c>
      <c r="M27" s="93">
        <f t="shared" si="2"/>
        <v>6142.5</v>
      </c>
      <c r="N27" s="64">
        <v>5850</v>
      </c>
      <c r="O27" s="69"/>
      <c r="P27" s="132">
        <f t="shared" si="3"/>
        <v>5850</v>
      </c>
      <c r="Q27" s="133"/>
      <c r="R27" s="218">
        <f t="shared" si="4"/>
        <v>10125</v>
      </c>
      <c r="S27" s="218">
        <f t="shared" si="5"/>
        <v>7425.0000000000009</v>
      </c>
      <c r="T27" s="218">
        <f t="shared" si="6"/>
        <v>7087.5</v>
      </c>
      <c r="U27" s="111">
        <v>6750</v>
      </c>
      <c r="V27" s="108"/>
      <c r="W27" s="79"/>
      <c r="X27" s="86"/>
    </row>
    <row r="28" spans="1:24" ht="15" customHeight="1" thickBot="1" x14ac:dyDescent="0.25">
      <c r="A28" s="718"/>
      <c r="B28" s="173" t="s">
        <v>341</v>
      </c>
      <c r="C28" s="174" t="s">
        <v>93</v>
      </c>
      <c r="D28" s="175" t="s">
        <v>280</v>
      </c>
      <c r="E28" s="136">
        <v>34.5</v>
      </c>
      <c r="F28" s="176">
        <v>0.2</v>
      </c>
      <c r="G28" s="176"/>
      <c r="H28" s="178">
        <v>0</v>
      </c>
      <c r="I28" s="179">
        <f t="shared" si="12"/>
        <v>0</v>
      </c>
      <c r="J28" s="180">
        <f t="shared" si="13"/>
        <v>0</v>
      </c>
      <c r="K28" s="139">
        <f t="shared" si="0"/>
        <v>11775</v>
      </c>
      <c r="L28" s="139">
        <f t="shared" si="1"/>
        <v>8635</v>
      </c>
      <c r="M28" s="139">
        <f t="shared" si="2"/>
        <v>8242.5</v>
      </c>
      <c r="N28" s="140">
        <v>7850</v>
      </c>
      <c r="O28" s="141">
        <v>5940</v>
      </c>
      <c r="P28" s="142">
        <f t="shared" si="3"/>
        <v>1910</v>
      </c>
      <c r="Q28" s="143"/>
      <c r="R28" s="219">
        <f t="shared" si="4"/>
        <v>13545</v>
      </c>
      <c r="S28" s="219">
        <f t="shared" si="5"/>
        <v>9933</v>
      </c>
      <c r="T28" s="219">
        <f t="shared" si="6"/>
        <v>9481.5</v>
      </c>
      <c r="U28" s="144">
        <v>9030</v>
      </c>
      <c r="V28" s="108">
        <f>O28*1.1</f>
        <v>6534.0000000000009</v>
      </c>
      <c r="W28" s="79">
        <f>U28-V28</f>
        <v>2495.9999999999991</v>
      </c>
      <c r="X28" s="86">
        <v>2076</v>
      </c>
    </row>
    <row r="29" spans="1:24" ht="17.25" thickTop="1" thickBot="1" x14ac:dyDescent="0.3">
      <c r="A29" s="146" t="s">
        <v>152</v>
      </c>
      <c r="B29" s="147" t="s">
        <v>27</v>
      </c>
      <c r="C29" s="148" t="s">
        <v>166</v>
      </c>
      <c r="D29" s="148"/>
      <c r="E29" s="149">
        <v>0</v>
      </c>
      <c r="F29" s="150">
        <v>0</v>
      </c>
      <c r="G29" s="150" t="s">
        <v>23</v>
      </c>
      <c r="H29" s="151">
        <v>0</v>
      </c>
      <c r="I29" s="152">
        <f t="shared" si="12"/>
        <v>0</v>
      </c>
      <c r="J29" s="153">
        <f t="shared" si="13"/>
        <v>0</v>
      </c>
      <c r="K29" s="154">
        <f t="shared" si="0"/>
        <v>720</v>
      </c>
      <c r="L29" s="154">
        <f t="shared" si="1"/>
        <v>528</v>
      </c>
      <c r="M29" s="154">
        <f t="shared" si="2"/>
        <v>504</v>
      </c>
      <c r="N29" s="155">
        <v>480</v>
      </c>
      <c r="O29" s="156"/>
      <c r="P29" s="157">
        <f t="shared" si="3"/>
        <v>480</v>
      </c>
      <c r="Q29" s="158"/>
      <c r="R29" s="220">
        <f t="shared" si="4"/>
        <v>795</v>
      </c>
      <c r="S29" s="220">
        <f t="shared" si="5"/>
        <v>583</v>
      </c>
      <c r="T29" s="220">
        <f t="shared" si="6"/>
        <v>556.5</v>
      </c>
      <c r="U29" s="159">
        <v>530</v>
      </c>
      <c r="V29" s="108"/>
      <c r="W29" s="79"/>
      <c r="X29" s="86"/>
    </row>
    <row r="30" spans="1:24" ht="13.5" thickTop="1" x14ac:dyDescent="0.2">
      <c r="A30" s="717" t="s">
        <v>137</v>
      </c>
      <c r="B30" s="160" t="s">
        <v>177</v>
      </c>
      <c r="C30" s="161" t="s">
        <v>1</v>
      </c>
      <c r="D30" s="161"/>
      <c r="E30" s="162">
        <v>6</v>
      </c>
      <c r="F30" s="163">
        <v>7.0000000000000007E-2</v>
      </c>
      <c r="G30" s="163">
        <v>10</v>
      </c>
      <c r="H30" s="164">
        <v>0</v>
      </c>
      <c r="I30" s="165">
        <f t="shared" si="12"/>
        <v>0</v>
      </c>
      <c r="J30" s="166">
        <f t="shared" si="13"/>
        <v>0</v>
      </c>
      <c r="K30" s="167">
        <f t="shared" si="0"/>
        <v>3750</v>
      </c>
      <c r="L30" s="167">
        <f t="shared" si="1"/>
        <v>2750</v>
      </c>
      <c r="M30" s="167">
        <f t="shared" si="2"/>
        <v>2625</v>
      </c>
      <c r="N30" s="168">
        <v>2500</v>
      </c>
      <c r="O30" s="169"/>
      <c r="P30" s="170">
        <f t="shared" si="3"/>
        <v>2500</v>
      </c>
      <c r="Q30" s="171"/>
      <c r="R30" s="221">
        <f t="shared" si="4"/>
        <v>4125</v>
      </c>
      <c r="S30" s="221">
        <f t="shared" si="5"/>
        <v>3025.0000000000005</v>
      </c>
      <c r="T30" s="221">
        <f t="shared" si="6"/>
        <v>2887.5</v>
      </c>
      <c r="U30" s="129">
        <f t="shared" si="9"/>
        <v>2750</v>
      </c>
      <c r="V30" s="108"/>
      <c r="W30" s="79"/>
      <c r="X30" s="86"/>
    </row>
    <row r="31" spans="1:24" ht="12.75" x14ac:dyDescent="0.2">
      <c r="A31" s="710"/>
      <c r="B31" s="14" t="s">
        <v>171</v>
      </c>
      <c r="C31" s="8" t="s">
        <v>1</v>
      </c>
      <c r="D31" s="8"/>
      <c r="E31" s="5">
        <v>6</v>
      </c>
      <c r="F31" s="3">
        <v>7.0000000000000007E-2</v>
      </c>
      <c r="G31" s="3">
        <v>10</v>
      </c>
      <c r="H31" s="13">
        <v>0</v>
      </c>
      <c r="I31" s="29">
        <f t="shared" si="12"/>
        <v>0</v>
      </c>
      <c r="J31" s="30">
        <f t="shared" si="13"/>
        <v>0</v>
      </c>
      <c r="K31" s="93">
        <f t="shared" si="0"/>
        <v>4312.5</v>
      </c>
      <c r="L31" s="93">
        <f t="shared" si="1"/>
        <v>3162.5000000000005</v>
      </c>
      <c r="M31" s="93">
        <f t="shared" si="2"/>
        <v>3018.75</v>
      </c>
      <c r="N31" s="64">
        <v>2875</v>
      </c>
      <c r="O31" s="69"/>
      <c r="P31" s="132">
        <f t="shared" si="3"/>
        <v>2875</v>
      </c>
      <c r="Q31" s="133"/>
      <c r="R31" s="218">
        <f t="shared" si="4"/>
        <v>4950</v>
      </c>
      <c r="S31" s="218">
        <f t="shared" si="5"/>
        <v>3630.0000000000005</v>
      </c>
      <c r="T31" s="218">
        <f t="shared" si="6"/>
        <v>3465</v>
      </c>
      <c r="U31" s="111">
        <v>3300</v>
      </c>
      <c r="V31" s="108"/>
      <c r="W31" s="79"/>
      <c r="X31" s="86"/>
    </row>
    <row r="32" spans="1:24" ht="12.75" x14ac:dyDescent="0.2">
      <c r="A32" s="710"/>
      <c r="B32" s="14" t="s">
        <v>175</v>
      </c>
      <c r="C32" s="8" t="s">
        <v>2</v>
      </c>
      <c r="D32" s="8"/>
      <c r="E32" s="5">
        <v>7</v>
      </c>
      <c r="F32" s="3">
        <v>7.0000000000000007E-2</v>
      </c>
      <c r="G32" s="3">
        <v>10</v>
      </c>
      <c r="H32" s="13">
        <v>0</v>
      </c>
      <c r="I32" s="29">
        <f t="shared" si="12"/>
        <v>0</v>
      </c>
      <c r="J32" s="30">
        <f t="shared" si="13"/>
        <v>0</v>
      </c>
      <c r="K32" s="93">
        <f t="shared" si="0"/>
        <v>4275</v>
      </c>
      <c r="L32" s="93">
        <f t="shared" si="1"/>
        <v>3135.0000000000005</v>
      </c>
      <c r="M32" s="93">
        <f t="shared" si="2"/>
        <v>2992.5</v>
      </c>
      <c r="N32" s="64">
        <v>2850</v>
      </c>
      <c r="O32" s="69"/>
      <c r="P32" s="132">
        <f t="shared" si="3"/>
        <v>2850</v>
      </c>
      <c r="Q32" s="133"/>
      <c r="R32" s="218">
        <f t="shared" si="4"/>
        <v>4702.5000000000009</v>
      </c>
      <c r="S32" s="218">
        <f t="shared" si="5"/>
        <v>3448.5000000000009</v>
      </c>
      <c r="T32" s="218">
        <f t="shared" si="6"/>
        <v>3291.7500000000005</v>
      </c>
      <c r="U32" s="111">
        <f t="shared" si="9"/>
        <v>3135.0000000000005</v>
      </c>
      <c r="V32" s="108"/>
      <c r="W32" s="79"/>
      <c r="X32" s="86"/>
    </row>
    <row r="33" spans="1:24" ht="12.75" x14ac:dyDescent="0.2">
      <c r="A33" s="710"/>
      <c r="B33" s="14" t="s">
        <v>172</v>
      </c>
      <c r="C33" s="8" t="s">
        <v>2</v>
      </c>
      <c r="D33" s="8"/>
      <c r="E33" s="5">
        <v>7</v>
      </c>
      <c r="F33" s="3">
        <v>7.0000000000000007E-2</v>
      </c>
      <c r="G33" s="3">
        <v>10</v>
      </c>
      <c r="H33" s="13">
        <v>0</v>
      </c>
      <c r="I33" s="29">
        <f t="shared" si="12"/>
        <v>0</v>
      </c>
      <c r="J33" s="30">
        <f t="shared" si="13"/>
        <v>0</v>
      </c>
      <c r="K33" s="93">
        <f t="shared" si="0"/>
        <v>4920</v>
      </c>
      <c r="L33" s="93">
        <f t="shared" si="1"/>
        <v>3608.0000000000005</v>
      </c>
      <c r="M33" s="93">
        <f t="shared" si="2"/>
        <v>3444</v>
      </c>
      <c r="N33" s="64">
        <v>3280</v>
      </c>
      <c r="O33" s="69"/>
      <c r="P33" s="132">
        <f t="shared" si="3"/>
        <v>3280</v>
      </c>
      <c r="Q33" s="133"/>
      <c r="R33" s="218">
        <f t="shared" si="4"/>
        <v>5670</v>
      </c>
      <c r="S33" s="218">
        <f t="shared" si="5"/>
        <v>4158</v>
      </c>
      <c r="T33" s="218">
        <f t="shared" si="6"/>
        <v>3969</v>
      </c>
      <c r="U33" s="111">
        <v>3780</v>
      </c>
      <c r="V33" s="108"/>
      <c r="W33" s="79"/>
      <c r="X33" s="86"/>
    </row>
    <row r="34" spans="1:24" ht="12.75" x14ac:dyDescent="0.2">
      <c r="A34" s="710"/>
      <c r="B34" s="14" t="s">
        <v>176</v>
      </c>
      <c r="C34" s="8" t="s">
        <v>3</v>
      </c>
      <c r="D34" s="8"/>
      <c r="E34" s="5">
        <v>12</v>
      </c>
      <c r="F34" s="3">
        <v>0.09</v>
      </c>
      <c r="G34" s="3">
        <v>10</v>
      </c>
      <c r="H34" s="13">
        <v>0</v>
      </c>
      <c r="I34" s="29">
        <f t="shared" si="12"/>
        <v>0</v>
      </c>
      <c r="J34" s="30">
        <f t="shared" si="13"/>
        <v>0</v>
      </c>
      <c r="K34" s="93">
        <f t="shared" si="0"/>
        <v>5025</v>
      </c>
      <c r="L34" s="93">
        <f t="shared" si="1"/>
        <v>3685.0000000000005</v>
      </c>
      <c r="M34" s="93">
        <f t="shared" si="2"/>
        <v>3517.5</v>
      </c>
      <c r="N34" s="64">
        <v>3350</v>
      </c>
      <c r="O34" s="69"/>
      <c r="P34" s="132">
        <f t="shared" si="3"/>
        <v>3350</v>
      </c>
      <c r="Q34" s="133"/>
      <c r="R34" s="218">
        <f t="shared" si="4"/>
        <v>5527.5000000000009</v>
      </c>
      <c r="S34" s="218">
        <f t="shared" si="5"/>
        <v>4053.5000000000009</v>
      </c>
      <c r="T34" s="218">
        <f t="shared" si="6"/>
        <v>3869.2500000000005</v>
      </c>
      <c r="U34" s="111">
        <f t="shared" si="9"/>
        <v>3685.0000000000005</v>
      </c>
      <c r="V34" s="108"/>
      <c r="W34" s="79"/>
      <c r="X34" s="86"/>
    </row>
    <row r="35" spans="1:24" ht="12.75" x14ac:dyDescent="0.2">
      <c r="A35" s="710"/>
      <c r="B35" s="14" t="s">
        <v>173</v>
      </c>
      <c r="C35" s="8" t="s">
        <v>3</v>
      </c>
      <c r="D35" s="8"/>
      <c r="E35" s="5">
        <v>12</v>
      </c>
      <c r="F35" s="3">
        <v>0.09</v>
      </c>
      <c r="G35" s="3">
        <v>10</v>
      </c>
      <c r="H35" s="13">
        <v>0</v>
      </c>
      <c r="I35" s="29">
        <f t="shared" si="12"/>
        <v>0</v>
      </c>
      <c r="J35" s="30">
        <f t="shared" si="13"/>
        <v>0</v>
      </c>
      <c r="K35" s="93">
        <f t="shared" si="0"/>
        <v>5782.5</v>
      </c>
      <c r="L35" s="93">
        <f t="shared" si="1"/>
        <v>4240.5</v>
      </c>
      <c r="M35" s="93">
        <f t="shared" si="2"/>
        <v>4047.75</v>
      </c>
      <c r="N35" s="64">
        <v>3855</v>
      </c>
      <c r="O35" s="69"/>
      <c r="P35" s="132">
        <f t="shared" si="3"/>
        <v>3855</v>
      </c>
      <c r="Q35" s="133"/>
      <c r="R35" s="218">
        <f t="shared" si="4"/>
        <v>6652.5</v>
      </c>
      <c r="S35" s="218">
        <f t="shared" si="5"/>
        <v>4878.5</v>
      </c>
      <c r="T35" s="218">
        <f t="shared" si="6"/>
        <v>4656.75</v>
      </c>
      <c r="U35" s="111">
        <v>4435</v>
      </c>
      <c r="V35" s="108"/>
      <c r="W35" s="79"/>
      <c r="X35" s="86"/>
    </row>
    <row r="36" spans="1:24" ht="12.75" x14ac:dyDescent="0.2">
      <c r="A36" s="710"/>
      <c r="B36" s="14" t="s">
        <v>168</v>
      </c>
      <c r="C36" s="8" t="s">
        <v>4</v>
      </c>
      <c r="D36" s="8"/>
      <c r="E36" s="5">
        <v>13</v>
      </c>
      <c r="F36" s="3">
        <v>0.14000000000000001</v>
      </c>
      <c r="G36" s="3">
        <v>10</v>
      </c>
      <c r="H36" s="13">
        <v>0</v>
      </c>
      <c r="I36" s="29">
        <f t="shared" si="12"/>
        <v>0</v>
      </c>
      <c r="J36" s="30">
        <f t="shared" si="13"/>
        <v>0</v>
      </c>
      <c r="K36" s="93">
        <f t="shared" si="0"/>
        <v>6900</v>
      </c>
      <c r="L36" s="93">
        <f t="shared" si="1"/>
        <v>5060</v>
      </c>
      <c r="M36" s="93">
        <f t="shared" si="2"/>
        <v>4830</v>
      </c>
      <c r="N36" s="64">
        <v>4600</v>
      </c>
      <c r="O36" s="69"/>
      <c r="P36" s="132">
        <f t="shared" si="3"/>
        <v>4600</v>
      </c>
      <c r="Q36" s="133"/>
      <c r="R36" s="218">
        <f t="shared" si="4"/>
        <v>7590</v>
      </c>
      <c r="S36" s="218">
        <f t="shared" si="5"/>
        <v>5566</v>
      </c>
      <c r="T36" s="218">
        <f t="shared" si="6"/>
        <v>5313</v>
      </c>
      <c r="U36" s="111">
        <f t="shared" si="9"/>
        <v>5060</v>
      </c>
      <c r="V36" s="108"/>
      <c r="W36" s="79"/>
      <c r="X36" s="86"/>
    </row>
    <row r="37" spans="1:24" ht="12.75" x14ac:dyDescent="0.2">
      <c r="A37" s="710"/>
      <c r="B37" s="14" t="s">
        <v>169</v>
      </c>
      <c r="C37" s="8" t="s">
        <v>4</v>
      </c>
      <c r="D37" s="8"/>
      <c r="E37" s="5">
        <v>13</v>
      </c>
      <c r="F37" s="3">
        <v>0.14000000000000001</v>
      </c>
      <c r="G37" s="3">
        <v>10</v>
      </c>
      <c r="H37" s="13">
        <v>0</v>
      </c>
      <c r="I37" s="29">
        <f t="shared" si="12"/>
        <v>0</v>
      </c>
      <c r="J37" s="30">
        <f t="shared" si="13"/>
        <v>0</v>
      </c>
      <c r="K37" s="93">
        <f t="shared" si="0"/>
        <v>7935</v>
      </c>
      <c r="L37" s="93">
        <f t="shared" si="1"/>
        <v>5819.0000000000009</v>
      </c>
      <c r="M37" s="93">
        <f t="shared" si="2"/>
        <v>5554.5</v>
      </c>
      <c r="N37" s="64">
        <v>5290</v>
      </c>
      <c r="O37" s="69"/>
      <c r="P37" s="132">
        <f t="shared" si="3"/>
        <v>5290</v>
      </c>
      <c r="Q37" s="133"/>
      <c r="R37" s="218">
        <f t="shared" si="4"/>
        <v>9127.5</v>
      </c>
      <c r="S37" s="218">
        <f t="shared" si="5"/>
        <v>6693.5000000000009</v>
      </c>
      <c r="T37" s="218">
        <f t="shared" si="6"/>
        <v>6389.25</v>
      </c>
      <c r="U37" s="111">
        <v>6085</v>
      </c>
      <c r="V37" s="108"/>
      <c r="W37" s="79"/>
      <c r="X37" s="86"/>
    </row>
    <row r="38" spans="1:24" ht="12.75" x14ac:dyDescent="0.2">
      <c r="A38" s="710"/>
      <c r="B38" s="14" t="s">
        <v>174</v>
      </c>
      <c r="C38" s="8" t="s">
        <v>5</v>
      </c>
      <c r="D38" s="8"/>
      <c r="E38" s="5">
        <v>16</v>
      </c>
      <c r="F38" s="3">
        <v>0.17</v>
      </c>
      <c r="G38" s="3">
        <v>10</v>
      </c>
      <c r="H38" s="13">
        <v>0</v>
      </c>
      <c r="I38" s="29">
        <f t="shared" si="12"/>
        <v>0</v>
      </c>
      <c r="J38" s="30">
        <f t="shared" si="13"/>
        <v>0</v>
      </c>
      <c r="K38" s="93">
        <f t="shared" ref="K38:K86" si="14">N38*1.5</f>
        <v>7500</v>
      </c>
      <c r="L38" s="93">
        <f t="shared" ref="L38:L86" si="15">N38*1.1</f>
        <v>5500</v>
      </c>
      <c r="M38" s="93">
        <f t="shared" ref="M38:M86" si="16">N38*1.05</f>
        <v>5250</v>
      </c>
      <c r="N38" s="64">
        <v>5000</v>
      </c>
      <c r="O38" s="69"/>
      <c r="P38" s="132">
        <f t="shared" ref="P38:P86" si="17">N38-O38</f>
        <v>5000</v>
      </c>
      <c r="Q38" s="133"/>
      <c r="R38" s="218">
        <f t="shared" ref="R38:R86" si="18">U38*1.5</f>
        <v>8250</v>
      </c>
      <c r="S38" s="218">
        <f t="shared" si="5"/>
        <v>6050.0000000000009</v>
      </c>
      <c r="T38" s="218">
        <f t="shared" si="6"/>
        <v>5775</v>
      </c>
      <c r="U38" s="111">
        <f t="shared" si="9"/>
        <v>5500</v>
      </c>
      <c r="V38" s="108"/>
      <c r="W38" s="79"/>
      <c r="X38" s="86"/>
    </row>
    <row r="39" spans="1:24" ht="12.75" x14ac:dyDescent="0.2">
      <c r="A39" s="710"/>
      <c r="B39" s="14" t="s">
        <v>170</v>
      </c>
      <c r="C39" s="8" t="s">
        <v>5</v>
      </c>
      <c r="D39" s="8"/>
      <c r="E39" s="5">
        <v>16</v>
      </c>
      <c r="F39" s="3">
        <v>0.17</v>
      </c>
      <c r="G39" s="3">
        <v>10</v>
      </c>
      <c r="H39" s="13">
        <v>0</v>
      </c>
      <c r="I39" s="29">
        <f t="shared" si="12"/>
        <v>0</v>
      </c>
      <c r="J39" s="30">
        <f t="shared" si="13"/>
        <v>0</v>
      </c>
      <c r="K39" s="93">
        <f t="shared" si="14"/>
        <v>8625</v>
      </c>
      <c r="L39" s="93">
        <f t="shared" si="15"/>
        <v>6325.0000000000009</v>
      </c>
      <c r="M39" s="93">
        <f t="shared" si="16"/>
        <v>6037.5</v>
      </c>
      <c r="N39" s="64">
        <v>5750</v>
      </c>
      <c r="O39" s="69"/>
      <c r="P39" s="132">
        <f t="shared" si="17"/>
        <v>5750</v>
      </c>
      <c r="Q39" s="133"/>
      <c r="R39" s="218">
        <f t="shared" si="18"/>
        <v>9922.5</v>
      </c>
      <c r="S39" s="218">
        <f t="shared" ref="S39:S86" si="19">U39*1.1</f>
        <v>7276.5000000000009</v>
      </c>
      <c r="T39" s="218">
        <f t="shared" ref="T39:T86" si="20">U39*1.05</f>
        <v>6945.75</v>
      </c>
      <c r="U39" s="111">
        <v>6615</v>
      </c>
      <c r="V39" s="108"/>
      <c r="W39" s="79"/>
      <c r="X39" s="86"/>
    </row>
    <row r="40" spans="1:24" ht="12.75" x14ac:dyDescent="0.2">
      <c r="A40" s="710"/>
      <c r="B40" s="14" t="s">
        <v>373</v>
      </c>
      <c r="C40" s="7" t="s">
        <v>75</v>
      </c>
      <c r="D40" s="7"/>
      <c r="E40" s="5">
        <v>34.5</v>
      </c>
      <c r="F40" s="3">
        <v>0.23</v>
      </c>
      <c r="G40" s="3">
        <v>6</v>
      </c>
      <c r="H40" s="13">
        <v>0</v>
      </c>
      <c r="I40" s="29">
        <f t="shared" si="12"/>
        <v>0</v>
      </c>
      <c r="J40" s="30">
        <f t="shared" si="13"/>
        <v>0</v>
      </c>
      <c r="K40" s="93">
        <f t="shared" si="14"/>
        <v>11250</v>
      </c>
      <c r="L40" s="93">
        <f t="shared" si="15"/>
        <v>8250</v>
      </c>
      <c r="M40" s="93">
        <f t="shared" si="16"/>
        <v>7875</v>
      </c>
      <c r="N40" s="64">
        <v>7500</v>
      </c>
      <c r="O40" s="69"/>
      <c r="P40" s="132">
        <f t="shared" si="17"/>
        <v>7500</v>
      </c>
      <c r="Q40" s="133"/>
      <c r="R40" s="218">
        <f t="shared" si="18"/>
        <v>12375</v>
      </c>
      <c r="S40" s="218">
        <f t="shared" si="19"/>
        <v>9075</v>
      </c>
      <c r="T40" s="218">
        <f t="shared" si="20"/>
        <v>8662.5</v>
      </c>
      <c r="U40" s="111">
        <f t="shared" si="9"/>
        <v>8250</v>
      </c>
      <c r="V40" s="108"/>
      <c r="W40" s="79"/>
      <c r="X40" s="86"/>
    </row>
    <row r="41" spans="1:24" ht="12.75" x14ac:dyDescent="0.2">
      <c r="A41" s="710"/>
      <c r="B41" s="14" t="s">
        <v>374</v>
      </c>
      <c r="C41" s="7" t="s">
        <v>75</v>
      </c>
      <c r="D41" s="7"/>
      <c r="E41" s="5">
        <v>34.5</v>
      </c>
      <c r="F41" s="3">
        <v>0.23</v>
      </c>
      <c r="G41" s="3">
        <v>6</v>
      </c>
      <c r="H41" s="13">
        <v>0</v>
      </c>
      <c r="I41" s="29">
        <f t="shared" si="12"/>
        <v>0</v>
      </c>
      <c r="J41" s="30">
        <f t="shared" si="13"/>
        <v>0</v>
      </c>
      <c r="K41" s="93">
        <f t="shared" si="14"/>
        <v>12075</v>
      </c>
      <c r="L41" s="93">
        <f t="shared" si="15"/>
        <v>8855</v>
      </c>
      <c r="M41" s="93">
        <f t="shared" si="16"/>
        <v>8452.5</v>
      </c>
      <c r="N41" s="64">
        <v>8050</v>
      </c>
      <c r="O41" s="69"/>
      <c r="P41" s="132">
        <f t="shared" si="17"/>
        <v>8050</v>
      </c>
      <c r="Q41" s="133"/>
      <c r="R41" s="218">
        <f t="shared" si="18"/>
        <v>13884</v>
      </c>
      <c r="S41" s="218">
        <f t="shared" si="19"/>
        <v>10181.6</v>
      </c>
      <c r="T41" s="218">
        <f t="shared" si="20"/>
        <v>9718.8000000000011</v>
      </c>
      <c r="U41" s="111">
        <v>9256</v>
      </c>
      <c r="V41" s="108"/>
      <c r="W41" s="79"/>
      <c r="X41" s="86"/>
    </row>
    <row r="42" spans="1:24" ht="18.75" customHeight="1" x14ac:dyDescent="0.2">
      <c r="A42" s="710"/>
      <c r="B42" s="14" t="s">
        <v>227</v>
      </c>
      <c r="C42" s="7" t="s">
        <v>89</v>
      </c>
      <c r="D42" s="44" t="s">
        <v>285</v>
      </c>
      <c r="E42" s="3">
        <v>15</v>
      </c>
      <c r="F42" s="3">
        <v>0.13</v>
      </c>
      <c r="G42" s="34"/>
      <c r="H42" s="13">
        <v>0</v>
      </c>
      <c r="I42" s="29">
        <f t="shared" si="12"/>
        <v>0</v>
      </c>
      <c r="J42" s="30">
        <f t="shared" si="13"/>
        <v>0</v>
      </c>
      <c r="K42" s="93">
        <f t="shared" si="14"/>
        <v>7500</v>
      </c>
      <c r="L42" s="93">
        <f t="shared" si="15"/>
        <v>5500</v>
      </c>
      <c r="M42" s="93">
        <f t="shared" si="16"/>
        <v>5250</v>
      </c>
      <c r="N42" s="64">
        <v>5000</v>
      </c>
      <c r="O42" s="69">
        <v>3891</v>
      </c>
      <c r="P42" s="132">
        <f t="shared" si="17"/>
        <v>1109</v>
      </c>
      <c r="Q42" s="133"/>
      <c r="R42" s="218">
        <f t="shared" si="18"/>
        <v>8250</v>
      </c>
      <c r="S42" s="218">
        <f t="shared" si="19"/>
        <v>6050.0000000000009</v>
      </c>
      <c r="T42" s="218">
        <f t="shared" si="20"/>
        <v>5775</v>
      </c>
      <c r="U42" s="111">
        <f t="shared" si="9"/>
        <v>5500</v>
      </c>
      <c r="V42" s="108">
        <f t="shared" ref="V42:V51" si="21">O42*1.1</f>
        <v>4280.1000000000004</v>
      </c>
      <c r="W42" s="79">
        <f>U42-V42</f>
        <v>1219.8999999999996</v>
      </c>
      <c r="X42" s="86">
        <v>780</v>
      </c>
    </row>
    <row r="43" spans="1:24" ht="19.5" customHeight="1" x14ac:dyDescent="0.2">
      <c r="A43" s="710"/>
      <c r="B43" s="14" t="s">
        <v>232</v>
      </c>
      <c r="C43" s="7" t="s">
        <v>89</v>
      </c>
      <c r="D43" s="44" t="s">
        <v>285</v>
      </c>
      <c r="E43" s="3">
        <v>15</v>
      </c>
      <c r="F43" s="3">
        <v>0.13</v>
      </c>
      <c r="G43" s="34"/>
      <c r="H43" s="13">
        <v>0</v>
      </c>
      <c r="I43" s="29">
        <f t="shared" si="12"/>
        <v>0</v>
      </c>
      <c r="J43" s="30">
        <f t="shared" si="13"/>
        <v>0</v>
      </c>
      <c r="K43" s="93">
        <f t="shared" si="14"/>
        <v>8625</v>
      </c>
      <c r="L43" s="93">
        <f t="shared" si="15"/>
        <v>6325.0000000000009</v>
      </c>
      <c r="M43" s="93">
        <f t="shared" si="16"/>
        <v>6037.5</v>
      </c>
      <c r="N43" s="64">
        <v>5750</v>
      </c>
      <c r="O43" s="69">
        <v>4641</v>
      </c>
      <c r="P43" s="132">
        <f t="shared" si="17"/>
        <v>1109</v>
      </c>
      <c r="Q43" s="133"/>
      <c r="R43" s="218">
        <f t="shared" si="18"/>
        <v>9922.5</v>
      </c>
      <c r="S43" s="218">
        <f t="shared" si="19"/>
        <v>7276.5000000000009</v>
      </c>
      <c r="T43" s="218">
        <f t="shared" si="20"/>
        <v>6945.75</v>
      </c>
      <c r="U43" s="111">
        <v>6615</v>
      </c>
      <c r="V43" s="108">
        <f t="shared" si="21"/>
        <v>5105.1000000000004</v>
      </c>
      <c r="W43" s="79">
        <f>U43-V43</f>
        <v>1509.8999999999996</v>
      </c>
      <c r="X43" s="86">
        <v>780</v>
      </c>
    </row>
    <row r="44" spans="1:24" ht="18.75" customHeight="1" x14ac:dyDescent="0.2">
      <c r="A44" s="710"/>
      <c r="B44" s="14" t="s">
        <v>228</v>
      </c>
      <c r="C44" s="7" t="s">
        <v>90</v>
      </c>
      <c r="D44" s="44" t="s">
        <v>286</v>
      </c>
      <c r="E44" s="3">
        <v>17.5</v>
      </c>
      <c r="F44" s="3">
        <v>0.17</v>
      </c>
      <c r="G44" s="34"/>
      <c r="H44" s="13">
        <v>0</v>
      </c>
      <c r="I44" s="29">
        <f t="shared" si="12"/>
        <v>0</v>
      </c>
      <c r="J44" s="30">
        <f t="shared" si="13"/>
        <v>0</v>
      </c>
      <c r="K44" s="93">
        <f t="shared" si="14"/>
        <v>7950</v>
      </c>
      <c r="L44" s="93">
        <f t="shared" si="15"/>
        <v>5830.0000000000009</v>
      </c>
      <c r="M44" s="93">
        <f t="shared" si="16"/>
        <v>5565</v>
      </c>
      <c r="N44" s="64">
        <v>5300</v>
      </c>
      <c r="O44" s="69">
        <v>4146.5</v>
      </c>
      <c r="P44" s="132">
        <f t="shared" si="17"/>
        <v>1153.5</v>
      </c>
      <c r="Q44" s="133"/>
      <c r="R44" s="218">
        <f t="shared" si="18"/>
        <v>8745.0000000000018</v>
      </c>
      <c r="S44" s="218">
        <f t="shared" si="19"/>
        <v>6413.0000000000018</v>
      </c>
      <c r="T44" s="218">
        <f t="shared" si="20"/>
        <v>6121.5000000000009</v>
      </c>
      <c r="U44" s="111">
        <f t="shared" si="9"/>
        <v>5830.0000000000009</v>
      </c>
      <c r="V44" s="108">
        <f t="shared" si="21"/>
        <v>4561.1500000000005</v>
      </c>
      <c r="W44" s="79">
        <f t="shared" ref="W44:W86" si="22">U44-V44</f>
        <v>1268.8500000000004</v>
      </c>
      <c r="X44" s="86">
        <v>835</v>
      </c>
    </row>
    <row r="45" spans="1:24" ht="19.5" customHeight="1" x14ac:dyDescent="0.2">
      <c r="A45" s="710"/>
      <c r="B45" s="14" t="s">
        <v>233</v>
      </c>
      <c r="C45" s="7" t="s">
        <v>90</v>
      </c>
      <c r="D45" s="44" t="s">
        <v>286</v>
      </c>
      <c r="E45" s="3">
        <v>17.5</v>
      </c>
      <c r="F45" s="3">
        <v>0.17</v>
      </c>
      <c r="G45" s="34"/>
      <c r="H45" s="13">
        <v>0</v>
      </c>
      <c r="I45" s="29">
        <f t="shared" si="12"/>
        <v>0</v>
      </c>
      <c r="J45" s="30">
        <f t="shared" si="13"/>
        <v>0</v>
      </c>
      <c r="K45" s="93">
        <f t="shared" si="14"/>
        <v>9142.5</v>
      </c>
      <c r="L45" s="93">
        <f t="shared" si="15"/>
        <v>6704.5000000000009</v>
      </c>
      <c r="M45" s="93">
        <f t="shared" si="16"/>
        <v>6399.75</v>
      </c>
      <c r="N45" s="64">
        <v>6095</v>
      </c>
      <c r="O45" s="69">
        <v>4941.5</v>
      </c>
      <c r="P45" s="132">
        <f t="shared" si="17"/>
        <v>1153.5</v>
      </c>
      <c r="Q45" s="133"/>
      <c r="R45" s="218">
        <f t="shared" si="18"/>
        <v>10515</v>
      </c>
      <c r="S45" s="218">
        <f t="shared" si="19"/>
        <v>7711.0000000000009</v>
      </c>
      <c r="T45" s="218">
        <f t="shared" si="20"/>
        <v>7360.5</v>
      </c>
      <c r="U45" s="111">
        <v>7010</v>
      </c>
      <c r="V45" s="108">
        <f t="shared" si="21"/>
        <v>5435.6500000000005</v>
      </c>
      <c r="W45" s="79">
        <f t="shared" si="22"/>
        <v>1574.3499999999995</v>
      </c>
      <c r="X45" s="86">
        <v>835</v>
      </c>
    </row>
    <row r="46" spans="1:24" ht="17.25" customHeight="1" x14ac:dyDescent="0.2">
      <c r="A46" s="710"/>
      <c r="B46" s="14" t="s">
        <v>229</v>
      </c>
      <c r="C46" s="7" t="s">
        <v>91</v>
      </c>
      <c r="D46" s="44" t="s">
        <v>287</v>
      </c>
      <c r="E46" s="3">
        <v>25</v>
      </c>
      <c r="F46" s="3">
        <v>0.21</v>
      </c>
      <c r="G46" s="34"/>
      <c r="H46" s="13">
        <v>0</v>
      </c>
      <c r="I46" s="29">
        <f t="shared" si="12"/>
        <v>0</v>
      </c>
      <c r="J46" s="30">
        <f t="shared" si="13"/>
        <v>0</v>
      </c>
      <c r="K46" s="93">
        <f t="shared" si="14"/>
        <v>10725</v>
      </c>
      <c r="L46" s="93">
        <f t="shared" si="15"/>
        <v>7865.0000000000009</v>
      </c>
      <c r="M46" s="93">
        <f t="shared" si="16"/>
        <v>7507.5</v>
      </c>
      <c r="N46" s="64">
        <v>7150</v>
      </c>
      <c r="O46" s="69">
        <v>4951.2</v>
      </c>
      <c r="P46" s="132">
        <f t="shared" si="17"/>
        <v>2198.8000000000002</v>
      </c>
      <c r="Q46" s="133"/>
      <c r="R46" s="218">
        <f t="shared" si="18"/>
        <v>11797.500000000002</v>
      </c>
      <c r="S46" s="218">
        <f t="shared" si="19"/>
        <v>8651.5000000000018</v>
      </c>
      <c r="T46" s="218">
        <f t="shared" si="20"/>
        <v>8258.2500000000018</v>
      </c>
      <c r="U46" s="111">
        <f t="shared" si="9"/>
        <v>7865.0000000000009</v>
      </c>
      <c r="V46" s="108">
        <f t="shared" si="21"/>
        <v>5446.3200000000006</v>
      </c>
      <c r="W46" s="79">
        <f t="shared" si="22"/>
        <v>2418.6800000000003</v>
      </c>
      <c r="X46" s="86">
        <v>1545.8</v>
      </c>
    </row>
    <row r="47" spans="1:24" ht="16.5" customHeight="1" x14ac:dyDescent="0.2">
      <c r="A47" s="710"/>
      <c r="B47" s="14" t="s">
        <v>234</v>
      </c>
      <c r="C47" s="7" t="s">
        <v>91</v>
      </c>
      <c r="D47" s="44" t="s">
        <v>287</v>
      </c>
      <c r="E47" s="3">
        <v>25</v>
      </c>
      <c r="F47" s="3">
        <v>0.21</v>
      </c>
      <c r="G47" s="34"/>
      <c r="H47" s="13">
        <v>0</v>
      </c>
      <c r="I47" s="29">
        <f t="shared" si="12"/>
        <v>0</v>
      </c>
      <c r="J47" s="30">
        <f t="shared" si="13"/>
        <v>0</v>
      </c>
      <c r="K47" s="93">
        <f t="shared" si="14"/>
        <v>12337.5</v>
      </c>
      <c r="L47" s="93">
        <f t="shared" si="15"/>
        <v>9047.5</v>
      </c>
      <c r="M47" s="93">
        <f t="shared" si="16"/>
        <v>8636.25</v>
      </c>
      <c r="N47" s="64">
        <v>8225</v>
      </c>
      <c r="O47" s="69">
        <v>6026.2</v>
      </c>
      <c r="P47" s="132">
        <f t="shared" si="17"/>
        <v>2198.8000000000002</v>
      </c>
      <c r="Q47" s="133"/>
      <c r="R47" s="218">
        <f t="shared" si="18"/>
        <v>14190</v>
      </c>
      <c r="S47" s="218">
        <f t="shared" si="19"/>
        <v>10406</v>
      </c>
      <c r="T47" s="218">
        <f t="shared" si="20"/>
        <v>9933</v>
      </c>
      <c r="U47" s="111">
        <v>9460</v>
      </c>
      <c r="V47" s="108">
        <f t="shared" si="21"/>
        <v>6628.8200000000006</v>
      </c>
      <c r="W47" s="79">
        <f t="shared" si="22"/>
        <v>2831.1799999999994</v>
      </c>
      <c r="X47" s="86">
        <v>1545.8</v>
      </c>
    </row>
    <row r="48" spans="1:24" ht="15" customHeight="1" x14ac:dyDescent="0.2">
      <c r="A48" s="710"/>
      <c r="B48" s="14" t="s">
        <v>225</v>
      </c>
      <c r="C48" s="7" t="s">
        <v>87</v>
      </c>
      <c r="D48" s="44" t="s">
        <v>288</v>
      </c>
      <c r="E48" s="3">
        <v>29</v>
      </c>
      <c r="F48" s="3">
        <v>0.28000000000000003</v>
      </c>
      <c r="G48" s="34"/>
      <c r="H48" s="13">
        <v>0</v>
      </c>
      <c r="I48" s="29">
        <f t="shared" si="12"/>
        <v>0</v>
      </c>
      <c r="J48" s="30">
        <f t="shared" si="13"/>
        <v>0</v>
      </c>
      <c r="K48" s="93">
        <f t="shared" si="14"/>
        <v>13200</v>
      </c>
      <c r="L48" s="93">
        <f t="shared" si="15"/>
        <v>9680</v>
      </c>
      <c r="M48" s="93">
        <f t="shared" si="16"/>
        <v>9240</v>
      </c>
      <c r="N48" s="64">
        <v>8800</v>
      </c>
      <c r="O48" s="69">
        <v>6317.15</v>
      </c>
      <c r="P48" s="132">
        <f t="shared" si="17"/>
        <v>2482.8500000000004</v>
      </c>
      <c r="Q48" s="133"/>
      <c r="R48" s="218">
        <f t="shared" si="18"/>
        <v>14520</v>
      </c>
      <c r="S48" s="218">
        <f t="shared" si="19"/>
        <v>10648</v>
      </c>
      <c r="T48" s="218">
        <f t="shared" si="20"/>
        <v>10164</v>
      </c>
      <c r="U48" s="111">
        <f t="shared" ref="U48:U93" si="23">N48*1.1</f>
        <v>9680</v>
      </c>
      <c r="V48" s="108">
        <f t="shared" si="21"/>
        <v>6948.8649999999998</v>
      </c>
      <c r="W48" s="79">
        <f t="shared" si="22"/>
        <v>2731.1350000000002</v>
      </c>
      <c r="X48" s="86">
        <v>1745</v>
      </c>
    </row>
    <row r="49" spans="1:24" ht="15.75" customHeight="1" x14ac:dyDescent="0.2">
      <c r="A49" s="710"/>
      <c r="B49" s="14" t="s">
        <v>230</v>
      </c>
      <c r="C49" s="7" t="s">
        <v>87</v>
      </c>
      <c r="D49" s="44" t="s">
        <v>288</v>
      </c>
      <c r="E49" s="3">
        <v>29</v>
      </c>
      <c r="F49" s="3">
        <v>0.28000000000000003</v>
      </c>
      <c r="G49" s="34"/>
      <c r="H49" s="13">
        <v>0</v>
      </c>
      <c r="I49" s="29">
        <f t="shared" si="12"/>
        <v>0</v>
      </c>
      <c r="J49" s="30">
        <f t="shared" si="13"/>
        <v>0</v>
      </c>
      <c r="K49" s="93">
        <f t="shared" si="14"/>
        <v>15180</v>
      </c>
      <c r="L49" s="93">
        <f t="shared" si="15"/>
        <v>11132</v>
      </c>
      <c r="M49" s="93">
        <f t="shared" si="16"/>
        <v>10626</v>
      </c>
      <c r="N49" s="64">
        <v>10120</v>
      </c>
      <c r="O49" s="69">
        <v>7637.15</v>
      </c>
      <c r="P49" s="132">
        <f t="shared" si="17"/>
        <v>2482.8500000000004</v>
      </c>
      <c r="Q49" s="133"/>
      <c r="R49" s="218">
        <f t="shared" si="18"/>
        <v>17457</v>
      </c>
      <c r="S49" s="218">
        <f t="shared" si="19"/>
        <v>12801.800000000001</v>
      </c>
      <c r="T49" s="218">
        <f t="shared" si="20"/>
        <v>12219.9</v>
      </c>
      <c r="U49" s="111">
        <v>11638</v>
      </c>
      <c r="V49" s="108">
        <f t="shared" si="21"/>
        <v>8400.8649999999998</v>
      </c>
      <c r="W49" s="79">
        <f t="shared" si="22"/>
        <v>3237.1350000000002</v>
      </c>
      <c r="X49" s="86">
        <v>1745</v>
      </c>
    </row>
    <row r="50" spans="1:24" ht="15.75" customHeight="1" x14ac:dyDescent="0.2">
      <c r="A50" s="710"/>
      <c r="B50" s="14" t="s">
        <v>226</v>
      </c>
      <c r="C50" s="7" t="s">
        <v>88</v>
      </c>
      <c r="D50" s="44" t="s">
        <v>289</v>
      </c>
      <c r="E50" s="3">
        <v>34.200000000000003</v>
      </c>
      <c r="F50" s="3">
        <v>0.4</v>
      </c>
      <c r="G50" s="34"/>
      <c r="H50" s="13">
        <v>0</v>
      </c>
      <c r="I50" s="29">
        <f t="shared" si="12"/>
        <v>0</v>
      </c>
      <c r="J50" s="30">
        <f t="shared" si="13"/>
        <v>0</v>
      </c>
      <c r="K50" s="93">
        <f t="shared" si="14"/>
        <v>21000</v>
      </c>
      <c r="L50" s="93">
        <f t="shared" si="15"/>
        <v>15400.000000000002</v>
      </c>
      <c r="M50" s="93">
        <f t="shared" si="16"/>
        <v>14700</v>
      </c>
      <c r="N50" s="64">
        <v>14000</v>
      </c>
      <c r="O50" s="69">
        <v>7096.55</v>
      </c>
      <c r="P50" s="132">
        <f t="shared" si="17"/>
        <v>6903.45</v>
      </c>
      <c r="Q50" s="133"/>
      <c r="R50" s="218">
        <f t="shared" si="18"/>
        <v>23100.000000000004</v>
      </c>
      <c r="S50" s="218">
        <f t="shared" si="19"/>
        <v>16940.000000000004</v>
      </c>
      <c r="T50" s="218">
        <f t="shared" si="20"/>
        <v>16170.000000000002</v>
      </c>
      <c r="U50" s="111">
        <f t="shared" si="23"/>
        <v>15400.000000000002</v>
      </c>
      <c r="V50" s="108">
        <f t="shared" si="21"/>
        <v>7806.2050000000008</v>
      </c>
      <c r="W50" s="79">
        <f t="shared" si="22"/>
        <v>7593.795000000001</v>
      </c>
      <c r="X50" s="86">
        <v>6027</v>
      </c>
    </row>
    <row r="51" spans="1:24" ht="15.75" customHeight="1" thickBot="1" x14ac:dyDescent="0.25">
      <c r="A51" s="718"/>
      <c r="B51" s="173" t="s">
        <v>231</v>
      </c>
      <c r="C51" s="174" t="s">
        <v>88</v>
      </c>
      <c r="D51" s="175" t="s">
        <v>289</v>
      </c>
      <c r="E51" s="176">
        <v>34.200000000000003</v>
      </c>
      <c r="F51" s="176">
        <v>0.4</v>
      </c>
      <c r="G51" s="177"/>
      <c r="H51" s="178">
        <v>0</v>
      </c>
      <c r="I51" s="179">
        <f t="shared" si="12"/>
        <v>0</v>
      </c>
      <c r="J51" s="180">
        <f t="shared" si="13"/>
        <v>0</v>
      </c>
      <c r="K51" s="139">
        <f t="shared" si="14"/>
        <v>24150</v>
      </c>
      <c r="L51" s="139">
        <f t="shared" si="15"/>
        <v>17710</v>
      </c>
      <c r="M51" s="139">
        <f t="shared" si="16"/>
        <v>16905</v>
      </c>
      <c r="N51" s="140">
        <v>16100</v>
      </c>
      <c r="O51" s="141">
        <v>9196.5499999999993</v>
      </c>
      <c r="P51" s="142">
        <f t="shared" si="17"/>
        <v>6903.4500000000007</v>
      </c>
      <c r="Q51" s="143"/>
      <c r="R51" s="219">
        <f t="shared" si="18"/>
        <v>27772.5</v>
      </c>
      <c r="S51" s="219">
        <f t="shared" si="19"/>
        <v>20366.5</v>
      </c>
      <c r="T51" s="219">
        <f t="shared" si="20"/>
        <v>19440.75</v>
      </c>
      <c r="U51" s="111">
        <v>18515</v>
      </c>
      <c r="V51" s="108">
        <f t="shared" si="21"/>
        <v>10116.205</v>
      </c>
      <c r="W51" s="79">
        <f t="shared" si="22"/>
        <v>8398.7950000000001</v>
      </c>
      <c r="X51" s="86">
        <v>6027</v>
      </c>
    </row>
    <row r="52" spans="1:24" ht="13.5" thickTop="1" x14ac:dyDescent="0.2">
      <c r="A52" s="716" t="s">
        <v>138</v>
      </c>
      <c r="B52" s="21" t="s">
        <v>406</v>
      </c>
      <c r="C52" s="145" t="s">
        <v>10</v>
      </c>
      <c r="D52" s="145"/>
      <c r="E52" s="122">
        <v>14.2</v>
      </c>
      <c r="F52" s="123">
        <v>0.1</v>
      </c>
      <c r="G52" s="123">
        <v>10</v>
      </c>
      <c r="H52" s="124">
        <v>0</v>
      </c>
      <c r="I52" s="125">
        <f t="shared" si="12"/>
        <v>0</v>
      </c>
      <c r="J52" s="126">
        <f t="shared" si="13"/>
        <v>0</v>
      </c>
      <c r="K52" s="127">
        <f t="shared" si="14"/>
        <v>3075</v>
      </c>
      <c r="L52" s="127">
        <f t="shared" si="15"/>
        <v>2255</v>
      </c>
      <c r="M52" s="127">
        <f t="shared" si="16"/>
        <v>2152.5</v>
      </c>
      <c r="N52" s="67">
        <v>2050</v>
      </c>
      <c r="O52" s="128"/>
      <c r="P52" s="132">
        <f t="shared" si="17"/>
        <v>2050</v>
      </c>
      <c r="Q52" s="133"/>
      <c r="R52" s="222">
        <f t="shared" si="18"/>
        <v>3382.5</v>
      </c>
      <c r="S52" s="222">
        <f t="shared" si="19"/>
        <v>2480.5</v>
      </c>
      <c r="T52" s="222">
        <f t="shared" si="20"/>
        <v>2367.75</v>
      </c>
      <c r="U52" s="111">
        <f t="shared" si="23"/>
        <v>2255</v>
      </c>
      <c r="V52" s="108"/>
      <c r="W52" s="79"/>
      <c r="X52" s="86"/>
    </row>
    <row r="53" spans="1:24" ht="12.75" x14ac:dyDescent="0.2">
      <c r="A53" s="710"/>
      <c r="B53" s="14" t="s">
        <v>407</v>
      </c>
      <c r="C53" s="8" t="s">
        <v>11</v>
      </c>
      <c r="D53" s="8"/>
      <c r="E53" s="31">
        <v>15.6</v>
      </c>
      <c r="F53" s="3">
        <v>0.1</v>
      </c>
      <c r="G53" s="3">
        <v>10</v>
      </c>
      <c r="H53" s="13">
        <v>0</v>
      </c>
      <c r="I53" s="29">
        <f t="shared" si="12"/>
        <v>0</v>
      </c>
      <c r="J53" s="30">
        <f t="shared" si="13"/>
        <v>0</v>
      </c>
      <c r="K53" s="93">
        <f t="shared" si="14"/>
        <v>3300</v>
      </c>
      <c r="L53" s="93">
        <f t="shared" si="15"/>
        <v>2420</v>
      </c>
      <c r="M53" s="93">
        <f t="shared" si="16"/>
        <v>2310</v>
      </c>
      <c r="N53" s="64">
        <v>2200</v>
      </c>
      <c r="O53" s="69"/>
      <c r="P53" s="132">
        <f t="shared" si="17"/>
        <v>2200</v>
      </c>
      <c r="Q53" s="133"/>
      <c r="R53" s="218">
        <f t="shared" si="18"/>
        <v>3630</v>
      </c>
      <c r="S53" s="218">
        <f t="shared" si="19"/>
        <v>2662</v>
      </c>
      <c r="T53" s="218">
        <f t="shared" si="20"/>
        <v>2541</v>
      </c>
      <c r="U53" s="111">
        <f t="shared" si="23"/>
        <v>2420</v>
      </c>
      <c r="V53" s="108"/>
      <c r="W53" s="79"/>
      <c r="X53" s="86"/>
    </row>
    <row r="54" spans="1:24" ht="12.75" x14ac:dyDescent="0.2">
      <c r="A54" s="710"/>
      <c r="B54" s="14" t="s">
        <v>28</v>
      </c>
      <c r="C54" s="8" t="s">
        <v>11</v>
      </c>
      <c r="D54" s="8"/>
      <c r="E54" s="5">
        <v>22</v>
      </c>
      <c r="F54" s="3">
        <v>0.1</v>
      </c>
      <c r="G54" s="3">
        <v>10</v>
      </c>
      <c r="H54" s="13">
        <v>0</v>
      </c>
      <c r="I54" s="29">
        <f t="shared" si="12"/>
        <v>0</v>
      </c>
      <c r="J54" s="30">
        <f t="shared" si="13"/>
        <v>0</v>
      </c>
      <c r="K54" s="93">
        <f t="shared" si="14"/>
        <v>4350</v>
      </c>
      <c r="L54" s="93">
        <f t="shared" si="15"/>
        <v>3190.0000000000005</v>
      </c>
      <c r="M54" s="93">
        <f t="shared" si="16"/>
        <v>3045</v>
      </c>
      <c r="N54" s="64">
        <v>2900</v>
      </c>
      <c r="O54" s="69"/>
      <c r="P54" s="132">
        <f t="shared" si="17"/>
        <v>2900</v>
      </c>
      <c r="Q54" s="133"/>
      <c r="R54" s="218">
        <f t="shared" si="18"/>
        <v>4785.0000000000009</v>
      </c>
      <c r="S54" s="218">
        <f t="shared" si="19"/>
        <v>3509.0000000000009</v>
      </c>
      <c r="T54" s="218">
        <f t="shared" si="20"/>
        <v>3349.5000000000005</v>
      </c>
      <c r="U54" s="111">
        <f t="shared" si="23"/>
        <v>3190.0000000000005</v>
      </c>
      <c r="V54" s="108"/>
      <c r="W54" s="79"/>
      <c r="X54" s="86"/>
    </row>
    <row r="55" spans="1:24" ht="12.75" x14ac:dyDescent="0.2">
      <c r="A55" s="710"/>
      <c r="B55" s="14" t="s">
        <v>408</v>
      </c>
      <c r="C55" s="7" t="s">
        <v>83</v>
      </c>
      <c r="D55" s="7"/>
      <c r="E55" s="5">
        <v>34.5</v>
      </c>
      <c r="F55" s="3">
        <v>0.23</v>
      </c>
      <c r="G55" s="3">
        <v>6</v>
      </c>
      <c r="H55" s="13">
        <v>0</v>
      </c>
      <c r="I55" s="29">
        <f t="shared" si="12"/>
        <v>0</v>
      </c>
      <c r="J55" s="30">
        <f t="shared" si="13"/>
        <v>0</v>
      </c>
      <c r="K55" s="93">
        <f t="shared" si="14"/>
        <v>7725</v>
      </c>
      <c r="L55" s="93">
        <f t="shared" si="15"/>
        <v>5665.0000000000009</v>
      </c>
      <c r="M55" s="93">
        <f t="shared" si="16"/>
        <v>5407.5</v>
      </c>
      <c r="N55" s="64">
        <v>5150</v>
      </c>
      <c r="O55" s="69"/>
      <c r="P55" s="132">
        <f t="shared" si="17"/>
        <v>5150</v>
      </c>
      <c r="Q55" s="133"/>
      <c r="R55" s="218">
        <f t="shared" si="18"/>
        <v>8497.5000000000018</v>
      </c>
      <c r="S55" s="218">
        <f t="shared" si="19"/>
        <v>6231.5000000000018</v>
      </c>
      <c r="T55" s="218">
        <f t="shared" si="20"/>
        <v>5948.2500000000009</v>
      </c>
      <c r="U55" s="111">
        <f t="shared" si="23"/>
        <v>5665.0000000000009</v>
      </c>
      <c r="V55" s="108"/>
      <c r="W55" s="79"/>
      <c r="X55" s="86"/>
    </row>
    <row r="56" spans="1:24" ht="12.75" x14ac:dyDescent="0.2">
      <c r="A56" s="710"/>
      <c r="B56" s="14" t="s">
        <v>32</v>
      </c>
      <c r="C56" s="7" t="s">
        <v>92</v>
      </c>
      <c r="D56" s="44" t="s">
        <v>281</v>
      </c>
      <c r="E56" s="5">
        <v>26.7</v>
      </c>
      <c r="F56" s="3">
        <v>0.16</v>
      </c>
      <c r="G56" s="3"/>
      <c r="H56" s="13">
        <v>0</v>
      </c>
      <c r="I56" s="29">
        <f t="shared" si="12"/>
        <v>0</v>
      </c>
      <c r="J56" s="30">
        <f t="shared" si="13"/>
        <v>0</v>
      </c>
      <c r="K56" s="93">
        <f t="shared" si="14"/>
        <v>8250</v>
      </c>
      <c r="L56" s="93">
        <f t="shared" si="15"/>
        <v>6050.0000000000009</v>
      </c>
      <c r="M56" s="93">
        <f t="shared" si="16"/>
        <v>5775</v>
      </c>
      <c r="N56" s="64">
        <v>5500</v>
      </c>
      <c r="O56" s="69">
        <v>2940</v>
      </c>
      <c r="P56" s="132">
        <f t="shared" si="17"/>
        <v>2560</v>
      </c>
      <c r="Q56" s="133"/>
      <c r="R56" s="218">
        <f t="shared" si="18"/>
        <v>9075.0000000000018</v>
      </c>
      <c r="S56" s="218">
        <f t="shared" si="19"/>
        <v>6655.0000000000018</v>
      </c>
      <c r="T56" s="218">
        <f t="shared" si="20"/>
        <v>6352.5000000000009</v>
      </c>
      <c r="U56" s="111">
        <f t="shared" si="23"/>
        <v>6050.0000000000009</v>
      </c>
      <c r="V56" s="108">
        <f t="shared" ref="V56:V61" si="24">O56*1.1</f>
        <v>3234.0000000000005</v>
      </c>
      <c r="W56" s="79">
        <f t="shared" si="22"/>
        <v>2816.0000000000005</v>
      </c>
      <c r="X56" s="86">
        <v>2293</v>
      </c>
    </row>
    <row r="57" spans="1:24" ht="12.75" x14ac:dyDescent="0.2">
      <c r="A57" s="710"/>
      <c r="B57" s="14" t="s">
        <v>33</v>
      </c>
      <c r="C57" s="7" t="s">
        <v>97</v>
      </c>
      <c r="D57" s="44" t="s">
        <v>281</v>
      </c>
      <c r="E57" s="5">
        <v>26.7</v>
      </c>
      <c r="F57" s="3">
        <v>0.22</v>
      </c>
      <c r="G57" s="3"/>
      <c r="H57" s="13">
        <v>0</v>
      </c>
      <c r="I57" s="29">
        <f t="shared" si="12"/>
        <v>0</v>
      </c>
      <c r="J57" s="30">
        <f t="shared" si="13"/>
        <v>0</v>
      </c>
      <c r="K57" s="93">
        <f t="shared" si="14"/>
        <v>9750</v>
      </c>
      <c r="L57" s="93">
        <f t="shared" si="15"/>
        <v>7150.0000000000009</v>
      </c>
      <c r="M57" s="93">
        <f t="shared" si="16"/>
        <v>6825</v>
      </c>
      <c r="N57" s="64">
        <v>6500</v>
      </c>
      <c r="O57" s="69">
        <v>3940</v>
      </c>
      <c r="P57" s="132">
        <f t="shared" si="17"/>
        <v>2560</v>
      </c>
      <c r="Q57" s="133"/>
      <c r="R57" s="218">
        <f t="shared" si="18"/>
        <v>10725.000000000002</v>
      </c>
      <c r="S57" s="218">
        <f t="shared" si="19"/>
        <v>7865.0000000000018</v>
      </c>
      <c r="T57" s="218">
        <f t="shared" si="20"/>
        <v>7507.5000000000009</v>
      </c>
      <c r="U57" s="111">
        <f t="shared" si="23"/>
        <v>7150.0000000000009</v>
      </c>
      <c r="V57" s="108">
        <f t="shared" si="24"/>
        <v>4334</v>
      </c>
      <c r="W57" s="79">
        <f t="shared" si="22"/>
        <v>2816.0000000000009</v>
      </c>
      <c r="X57" s="86">
        <v>2293</v>
      </c>
    </row>
    <row r="58" spans="1:24" ht="12.75" x14ac:dyDescent="0.2">
      <c r="A58" s="710"/>
      <c r="B58" s="14" t="s">
        <v>235</v>
      </c>
      <c r="C58" s="7" t="s">
        <v>94</v>
      </c>
      <c r="D58" s="44" t="s">
        <v>282</v>
      </c>
      <c r="E58" s="5">
        <v>21.5</v>
      </c>
      <c r="F58" s="3">
        <v>0.19</v>
      </c>
      <c r="G58" s="3"/>
      <c r="H58" s="13">
        <v>0</v>
      </c>
      <c r="I58" s="29">
        <f t="shared" si="12"/>
        <v>0</v>
      </c>
      <c r="J58" s="30">
        <f t="shared" si="13"/>
        <v>0</v>
      </c>
      <c r="K58" s="93">
        <f t="shared" si="14"/>
        <v>9150</v>
      </c>
      <c r="L58" s="93">
        <f t="shared" si="15"/>
        <v>6710.0000000000009</v>
      </c>
      <c r="M58" s="93">
        <f t="shared" si="16"/>
        <v>6405</v>
      </c>
      <c r="N58" s="64">
        <v>6100</v>
      </c>
      <c r="O58" s="69">
        <v>3030</v>
      </c>
      <c r="P58" s="132">
        <f t="shared" si="17"/>
        <v>3070</v>
      </c>
      <c r="Q58" s="133"/>
      <c r="R58" s="218">
        <f t="shared" si="18"/>
        <v>10065.000000000002</v>
      </c>
      <c r="S58" s="218">
        <f t="shared" si="19"/>
        <v>7381.0000000000018</v>
      </c>
      <c r="T58" s="218">
        <f t="shared" si="20"/>
        <v>7045.5000000000009</v>
      </c>
      <c r="U58" s="111">
        <f t="shared" si="23"/>
        <v>6710.0000000000009</v>
      </c>
      <c r="V58" s="108">
        <f t="shared" si="24"/>
        <v>3333.0000000000005</v>
      </c>
      <c r="W58" s="79">
        <f t="shared" si="22"/>
        <v>3377.0000000000005</v>
      </c>
      <c r="X58" s="86">
        <v>2736</v>
      </c>
    </row>
    <row r="59" spans="1:24" ht="12.75" x14ac:dyDescent="0.2">
      <c r="A59" s="710"/>
      <c r="B59" s="14" t="s">
        <v>236</v>
      </c>
      <c r="C59" s="7" t="s">
        <v>98</v>
      </c>
      <c r="D59" s="44" t="s">
        <v>282</v>
      </c>
      <c r="E59" s="5">
        <v>21.5</v>
      </c>
      <c r="F59" s="3">
        <v>0.24</v>
      </c>
      <c r="G59" s="3"/>
      <c r="H59" s="13">
        <v>0</v>
      </c>
      <c r="I59" s="29">
        <f t="shared" si="12"/>
        <v>0</v>
      </c>
      <c r="J59" s="30">
        <f t="shared" si="13"/>
        <v>0</v>
      </c>
      <c r="K59" s="93">
        <f t="shared" si="14"/>
        <v>10350</v>
      </c>
      <c r="L59" s="93">
        <f t="shared" si="15"/>
        <v>7590.0000000000009</v>
      </c>
      <c r="M59" s="93">
        <f t="shared" si="16"/>
        <v>7245</v>
      </c>
      <c r="N59" s="64">
        <v>6900</v>
      </c>
      <c r="O59" s="69">
        <v>3830</v>
      </c>
      <c r="P59" s="132">
        <f t="shared" si="17"/>
        <v>3070</v>
      </c>
      <c r="Q59" s="133"/>
      <c r="R59" s="218">
        <f t="shared" si="18"/>
        <v>11385.000000000002</v>
      </c>
      <c r="S59" s="218">
        <f t="shared" si="19"/>
        <v>8349.0000000000018</v>
      </c>
      <c r="T59" s="218">
        <f t="shared" si="20"/>
        <v>7969.5000000000009</v>
      </c>
      <c r="U59" s="111">
        <f t="shared" si="23"/>
        <v>7590.0000000000009</v>
      </c>
      <c r="V59" s="108">
        <f t="shared" si="24"/>
        <v>4213</v>
      </c>
      <c r="W59" s="79">
        <f t="shared" si="22"/>
        <v>3377.0000000000009</v>
      </c>
      <c r="X59" s="86">
        <v>2736</v>
      </c>
    </row>
    <row r="60" spans="1:24" ht="12.75" x14ac:dyDescent="0.2">
      <c r="A60" s="710"/>
      <c r="B60" s="14" t="s">
        <v>237</v>
      </c>
      <c r="C60" s="7" t="s">
        <v>95</v>
      </c>
      <c r="D60" s="44" t="s">
        <v>283</v>
      </c>
      <c r="E60" s="3">
        <v>25.5</v>
      </c>
      <c r="F60" s="3">
        <v>0.3</v>
      </c>
      <c r="G60" s="34"/>
      <c r="H60" s="13">
        <v>0</v>
      </c>
      <c r="I60" s="29">
        <f t="shared" si="12"/>
        <v>0</v>
      </c>
      <c r="J60" s="30">
        <f t="shared" si="13"/>
        <v>0</v>
      </c>
      <c r="K60" s="93">
        <f t="shared" si="14"/>
        <v>11550</v>
      </c>
      <c r="L60" s="93">
        <f t="shared" si="15"/>
        <v>8470</v>
      </c>
      <c r="M60" s="93">
        <f t="shared" si="16"/>
        <v>8085</v>
      </c>
      <c r="N60" s="64">
        <v>7700</v>
      </c>
      <c r="O60" s="69">
        <v>3756</v>
      </c>
      <c r="P60" s="132">
        <f t="shared" si="17"/>
        <v>3944</v>
      </c>
      <c r="Q60" s="133"/>
      <c r="R60" s="218">
        <f t="shared" si="18"/>
        <v>12705</v>
      </c>
      <c r="S60" s="218">
        <f t="shared" si="19"/>
        <v>9317</v>
      </c>
      <c r="T60" s="218">
        <f t="shared" si="20"/>
        <v>8893.5</v>
      </c>
      <c r="U60" s="111">
        <f t="shared" si="23"/>
        <v>8470</v>
      </c>
      <c r="V60" s="108">
        <f t="shared" si="24"/>
        <v>4131.6000000000004</v>
      </c>
      <c r="W60" s="79">
        <f t="shared" si="22"/>
        <v>4338.3999999999996</v>
      </c>
      <c r="X60" s="86">
        <v>3429</v>
      </c>
    </row>
    <row r="61" spans="1:24" ht="13.5" thickBot="1" x14ac:dyDescent="0.25">
      <c r="A61" s="718"/>
      <c r="B61" s="173" t="s">
        <v>238</v>
      </c>
      <c r="C61" s="174" t="s">
        <v>99</v>
      </c>
      <c r="D61" s="175" t="s">
        <v>283</v>
      </c>
      <c r="E61" s="176">
        <v>36</v>
      </c>
      <c r="F61" s="176">
        <v>0.2</v>
      </c>
      <c r="G61" s="177"/>
      <c r="H61" s="178">
        <v>0</v>
      </c>
      <c r="I61" s="179">
        <f t="shared" si="12"/>
        <v>0</v>
      </c>
      <c r="J61" s="180">
        <f t="shared" si="13"/>
        <v>0</v>
      </c>
      <c r="K61" s="139">
        <f t="shared" si="14"/>
        <v>12450</v>
      </c>
      <c r="L61" s="139">
        <f t="shared" si="15"/>
        <v>9130</v>
      </c>
      <c r="M61" s="139">
        <f t="shared" si="16"/>
        <v>8715</v>
      </c>
      <c r="N61" s="140">
        <v>8300</v>
      </c>
      <c r="O61" s="141">
        <v>4356</v>
      </c>
      <c r="P61" s="142">
        <f t="shared" si="17"/>
        <v>3944</v>
      </c>
      <c r="Q61" s="143"/>
      <c r="R61" s="219">
        <f t="shared" si="18"/>
        <v>13695</v>
      </c>
      <c r="S61" s="219">
        <f t="shared" si="19"/>
        <v>10043</v>
      </c>
      <c r="T61" s="219">
        <f t="shared" si="20"/>
        <v>9586.5</v>
      </c>
      <c r="U61" s="144">
        <f t="shared" si="23"/>
        <v>9130</v>
      </c>
      <c r="V61" s="108">
        <f t="shared" si="24"/>
        <v>4791.6000000000004</v>
      </c>
      <c r="W61" s="79">
        <f t="shared" si="22"/>
        <v>4338.3999999999996</v>
      </c>
      <c r="X61" s="86">
        <v>3429</v>
      </c>
    </row>
    <row r="62" spans="1:24" ht="13.5" thickTop="1" x14ac:dyDescent="0.2">
      <c r="A62" s="717" t="s">
        <v>139</v>
      </c>
      <c r="B62" s="160" t="s">
        <v>478</v>
      </c>
      <c r="C62" s="161" t="s">
        <v>9</v>
      </c>
      <c r="D62" s="161"/>
      <c r="E62" s="162">
        <v>19.399999999999999</v>
      </c>
      <c r="F62" s="163">
        <v>0.1</v>
      </c>
      <c r="G62" s="163">
        <v>10</v>
      </c>
      <c r="H62" s="164">
        <v>0</v>
      </c>
      <c r="I62" s="165">
        <f t="shared" si="12"/>
        <v>0</v>
      </c>
      <c r="J62" s="166">
        <f t="shared" si="13"/>
        <v>0</v>
      </c>
      <c r="K62" s="167">
        <f t="shared" si="14"/>
        <v>3000</v>
      </c>
      <c r="L62" s="167">
        <f t="shared" si="15"/>
        <v>2200</v>
      </c>
      <c r="M62" s="167">
        <f t="shared" si="16"/>
        <v>2100</v>
      </c>
      <c r="N62" s="168">
        <v>2000</v>
      </c>
      <c r="O62" s="169"/>
      <c r="P62" s="170">
        <f t="shared" si="17"/>
        <v>2000</v>
      </c>
      <c r="Q62" s="171"/>
      <c r="R62" s="221">
        <f t="shared" si="18"/>
        <v>3300</v>
      </c>
      <c r="S62" s="221">
        <f t="shared" si="19"/>
        <v>2420</v>
      </c>
      <c r="T62" s="221">
        <f t="shared" si="20"/>
        <v>2310</v>
      </c>
      <c r="U62" s="172">
        <f t="shared" si="23"/>
        <v>2200</v>
      </c>
      <c r="V62" s="108"/>
      <c r="W62" s="79"/>
      <c r="X62" s="86"/>
    </row>
    <row r="63" spans="1:24" ht="12.75" x14ac:dyDescent="0.2">
      <c r="A63" s="710"/>
      <c r="B63" s="14" t="s">
        <v>479</v>
      </c>
      <c r="C63" s="8" t="s">
        <v>0</v>
      </c>
      <c r="D63" s="8"/>
      <c r="E63" s="5">
        <v>23.5</v>
      </c>
      <c r="F63" s="3">
        <v>0.1</v>
      </c>
      <c r="G63" s="3">
        <v>10</v>
      </c>
      <c r="H63" s="13">
        <v>0</v>
      </c>
      <c r="I63" s="29">
        <f t="shared" si="12"/>
        <v>0</v>
      </c>
      <c r="J63" s="30">
        <f t="shared" si="13"/>
        <v>0</v>
      </c>
      <c r="K63" s="93">
        <f t="shared" si="14"/>
        <v>3300</v>
      </c>
      <c r="L63" s="93">
        <f t="shared" si="15"/>
        <v>2420</v>
      </c>
      <c r="M63" s="93">
        <f t="shared" si="16"/>
        <v>2310</v>
      </c>
      <c r="N63" s="64">
        <v>2200</v>
      </c>
      <c r="O63" s="69"/>
      <c r="P63" s="132">
        <f t="shared" si="17"/>
        <v>2200</v>
      </c>
      <c r="Q63" s="133"/>
      <c r="R63" s="218">
        <f t="shared" si="18"/>
        <v>3630</v>
      </c>
      <c r="S63" s="218">
        <f t="shared" si="19"/>
        <v>2662</v>
      </c>
      <c r="T63" s="218">
        <f t="shared" si="20"/>
        <v>2541</v>
      </c>
      <c r="U63" s="111">
        <f t="shared" si="23"/>
        <v>2420</v>
      </c>
      <c r="V63" s="108"/>
      <c r="W63" s="79"/>
      <c r="X63" s="86"/>
    </row>
    <row r="64" spans="1:24" ht="12.75" x14ac:dyDescent="0.2">
      <c r="A64" s="710"/>
      <c r="B64" s="14" t="s">
        <v>480</v>
      </c>
      <c r="C64" s="8" t="s">
        <v>15</v>
      </c>
      <c r="D64" s="8"/>
      <c r="E64" s="5">
        <v>25.5</v>
      </c>
      <c r="F64" s="3">
        <v>0.2</v>
      </c>
      <c r="G64" s="3">
        <v>10</v>
      </c>
      <c r="H64" s="13">
        <v>0</v>
      </c>
      <c r="I64" s="29">
        <f t="shared" si="12"/>
        <v>0</v>
      </c>
      <c r="J64" s="30">
        <f t="shared" si="13"/>
        <v>0</v>
      </c>
      <c r="K64" s="93">
        <f t="shared" si="14"/>
        <v>3750</v>
      </c>
      <c r="L64" s="93">
        <f t="shared" si="15"/>
        <v>2750</v>
      </c>
      <c r="M64" s="93">
        <f t="shared" si="16"/>
        <v>2625</v>
      </c>
      <c r="N64" s="64">
        <v>2500</v>
      </c>
      <c r="O64" s="69"/>
      <c r="P64" s="132">
        <f t="shared" si="17"/>
        <v>2500</v>
      </c>
      <c r="Q64" s="133"/>
      <c r="R64" s="218">
        <f t="shared" si="18"/>
        <v>4125</v>
      </c>
      <c r="S64" s="218">
        <f t="shared" si="19"/>
        <v>3025.0000000000005</v>
      </c>
      <c r="T64" s="218">
        <f t="shared" si="20"/>
        <v>2887.5</v>
      </c>
      <c r="U64" s="111">
        <f t="shared" si="23"/>
        <v>2750</v>
      </c>
      <c r="V64" s="108"/>
      <c r="W64" s="79"/>
      <c r="X64" s="86"/>
    </row>
    <row r="65" spans="1:24" ht="12.75" x14ac:dyDescent="0.2">
      <c r="A65" s="710"/>
      <c r="B65" s="14" t="s">
        <v>307</v>
      </c>
      <c r="C65" s="8" t="s">
        <v>14</v>
      </c>
      <c r="D65" s="8"/>
      <c r="E65" s="5">
        <v>26</v>
      </c>
      <c r="F65" s="3">
        <v>0.2</v>
      </c>
      <c r="G65" s="3">
        <v>10</v>
      </c>
      <c r="H65" s="13">
        <v>0</v>
      </c>
      <c r="I65" s="29">
        <f t="shared" si="12"/>
        <v>0</v>
      </c>
      <c r="J65" s="30">
        <f t="shared" si="13"/>
        <v>0</v>
      </c>
      <c r="K65" s="93">
        <f t="shared" si="14"/>
        <v>4200</v>
      </c>
      <c r="L65" s="93">
        <f t="shared" si="15"/>
        <v>3080.0000000000005</v>
      </c>
      <c r="M65" s="93">
        <f t="shared" si="16"/>
        <v>2940</v>
      </c>
      <c r="N65" s="64">
        <v>2800</v>
      </c>
      <c r="O65" s="69"/>
      <c r="P65" s="132">
        <f t="shared" si="17"/>
        <v>2800</v>
      </c>
      <c r="Q65" s="133"/>
      <c r="R65" s="218">
        <f t="shared" si="18"/>
        <v>4620.0000000000009</v>
      </c>
      <c r="S65" s="218">
        <f t="shared" si="19"/>
        <v>3388.0000000000009</v>
      </c>
      <c r="T65" s="218">
        <f t="shared" si="20"/>
        <v>3234.0000000000005</v>
      </c>
      <c r="U65" s="111">
        <f t="shared" si="23"/>
        <v>3080.0000000000005</v>
      </c>
      <c r="V65" s="108"/>
      <c r="W65" s="79"/>
      <c r="X65" s="86"/>
    </row>
    <row r="66" spans="1:24" ht="12.75" x14ac:dyDescent="0.2">
      <c r="A66" s="710"/>
      <c r="B66" s="14" t="s">
        <v>481</v>
      </c>
      <c r="C66" s="8" t="s">
        <v>14</v>
      </c>
      <c r="D66" s="8"/>
      <c r="E66" s="5">
        <v>26</v>
      </c>
      <c r="F66" s="3">
        <v>0.2</v>
      </c>
      <c r="G66" s="3">
        <v>10</v>
      </c>
      <c r="H66" s="13">
        <v>0</v>
      </c>
      <c r="I66" s="29">
        <f t="shared" si="12"/>
        <v>0</v>
      </c>
      <c r="J66" s="30">
        <f t="shared" si="13"/>
        <v>0</v>
      </c>
      <c r="K66" s="93">
        <f t="shared" si="14"/>
        <v>3600</v>
      </c>
      <c r="L66" s="93">
        <f t="shared" si="15"/>
        <v>2640</v>
      </c>
      <c r="M66" s="93">
        <f t="shared" si="16"/>
        <v>2520</v>
      </c>
      <c r="N66" s="64">
        <v>2400</v>
      </c>
      <c r="O66" s="69"/>
      <c r="P66" s="132">
        <f t="shared" si="17"/>
        <v>2400</v>
      </c>
      <c r="Q66" s="133"/>
      <c r="R66" s="218">
        <f t="shared" si="18"/>
        <v>3960</v>
      </c>
      <c r="S66" s="218">
        <f t="shared" si="19"/>
        <v>2904.0000000000005</v>
      </c>
      <c r="T66" s="218">
        <f t="shared" si="20"/>
        <v>2772</v>
      </c>
      <c r="U66" s="111">
        <f t="shared" si="23"/>
        <v>2640</v>
      </c>
      <c r="V66" s="108"/>
      <c r="W66" s="79"/>
      <c r="X66" s="86"/>
    </row>
    <row r="67" spans="1:24" ht="12.75" x14ac:dyDescent="0.2">
      <c r="A67" s="710"/>
      <c r="B67" s="14" t="s">
        <v>381</v>
      </c>
      <c r="C67" s="7" t="s">
        <v>76</v>
      </c>
      <c r="D67" s="7"/>
      <c r="E67" s="5">
        <v>14.5</v>
      </c>
      <c r="F67" s="3">
        <v>0.27</v>
      </c>
      <c r="G67" s="3">
        <v>6</v>
      </c>
      <c r="H67" s="13">
        <v>0</v>
      </c>
      <c r="I67" s="29">
        <f t="shared" si="12"/>
        <v>0</v>
      </c>
      <c r="J67" s="30">
        <f t="shared" si="13"/>
        <v>0</v>
      </c>
      <c r="K67" s="93">
        <f t="shared" si="14"/>
        <v>8100</v>
      </c>
      <c r="L67" s="93">
        <f t="shared" si="15"/>
        <v>5940.0000000000009</v>
      </c>
      <c r="M67" s="93">
        <f t="shared" si="16"/>
        <v>5670</v>
      </c>
      <c r="N67" s="64">
        <v>5400</v>
      </c>
      <c r="O67" s="69"/>
      <c r="P67" s="132">
        <f t="shared" si="17"/>
        <v>5400</v>
      </c>
      <c r="Q67" s="133"/>
      <c r="R67" s="218">
        <f t="shared" si="18"/>
        <v>8910.0000000000018</v>
      </c>
      <c r="S67" s="218">
        <f t="shared" si="19"/>
        <v>6534.0000000000018</v>
      </c>
      <c r="T67" s="218">
        <f t="shared" si="20"/>
        <v>6237.0000000000009</v>
      </c>
      <c r="U67" s="111">
        <f t="shared" si="23"/>
        <v>5940.0000000000009</v>
      </c>
      <c r="V67" s="108"/>
      <c r="W67" s="79"/>
      <c r="X67" s="86"/>
    </row>
    <row r="68" spans="1:24" ht="12.75" x14ac:dyDescent="0.2">
      <c r="A68" s="710"/>
      <c r="B68" s="14" t="s">
        <v>482</v>
      </c>
      <c r="C68" s="7" t="s">
        <v>76</v>
      </c>
      <c r="D68" s="7"/>
      <c r="E68" s="5">
        <v>14.5</v>
      </c>
      <c r="F68" s="3">
        <v>0.27</v>
      </c>
      <c r="G68" s="3">
        <v>6</v>
      </c>
      <c r="H68" s="13">
        <v>0</v>
      </c>
      <c r="I68" s="29">
        <f t="shared" si="12"/>
        <v>0</v>
      </c>
      <c r="J68" s="30">
        <f t="shared" si="13"/>
        <v>0</v>
      </c>
      <c r="K68" s="93">
        <f t="shared" si="14"/>
        <v>6870</v>
      </c>
      <c r="L68" s="93">
        <f t="shared" si="15"/>
        <v>5038</v>
      </c>
      <c r="M68" s="93">
        <f t="shared" si="16"/>
        <v>4809</v>
      </c>
      <c r="N68" s="64">
        <v>4580</v>
      </c>
      <c r="O68" s="69"/>
      <c r="P68" s="132">
        <f t="shared" si="17"/>
        <v>4580</v>
      </c>
      <c r="Q68" s="133"/>
      <c r="R68" s="218">
        <f t="shared" si="18"/>
        <v>7557</v>
      </c>
      <c r="S68" s="218">
        <f t="shared" si="19"/>
        <v>5541.8</v>
      </c>
      <c r="T68" s="218">
        <f t="shared" si="20"/>
        <v>5289.9000000000005</v>
      </c>
      <c r="U68" s="111">
        <v>5038</v>
      </c>
      <c r="V68" s="108"/>
      <c r="W68" s="79"/>
      <c r="X68" s="86"/>
    </row>
    <row r="69" spans="1:24" ht="12.75" x14ac:dyDescent="0.2">
      <c r="A69" s="710"/>
      <c r="B69" s="14" t="s">
        <v>239</v>
      </c>
      <c r="C69" s="7" t="s">
        <v>101</v>
      </c>
      <c r="D69" s="44" t="s">
        <v>281</v>
      </c>
      <c r="E69" s="5">
        <v>19.399999999999999</v>
      </c>
      <c r="F69" s="3">
        <v>0.22</v>
      </c>
      <c r="G69" s="3"/>
      <c r="H69" s="13">
        <v>0</v>
      </c>
      <c r="I69" s="29">
        <f t="shared" si="12"/>
        <v>0</v>
      </c>
      <c r="J69" s="30">
        <f t="shared" si="13"/>
        <v>0</v>
      </c>
      <c r="K69" s="93">
        <f t="shared" si="14"/>
        <v>8850</v>
      </c>
      <c r="L69" s="93">
        <f t="shared" si="15"/>
        <v>6490.0000000000009</v>
      </c>
      <c r="M69" s="93">
        <f t="shared" si="16"/>
        <v>6195</v>
      </c>
      <c r="N69" s="64">
        <v>5900</v>
      </c>
      <c r="O69" s="69">
        <v>3340</v>
      </c>
      <c r="P69" s="132">
        <f t="shared" si="17"/>
        <v>2560</v>
      </c>
      <c r="Q69" s="133"/>
      <c r="R69" s="218">
        <f t="shared" si="18"/>
        <v>9735.0000000000018</v>
      </c>
      <c r="S69" s="218">
        <f t="shared" si="19"/>
        <v>7139.0000000000018</v>
      </c>
      <c r="T69" s="218">
        <f t="shared" si="20"/>
        <v>6814.5000000000009</v>
      </c>
      <c r="U69" s="111">
        <f t="shared" si="23"/>
        <v>6490.0000000000009</v>
      </c>
      <c r="V69" s="108">
        <f t="shared" ref="V69:V76" si="25">O69*1.1</f>
        <v>3674.0000000000005</v>
      </c>
      <c r="W69" s="79">
        <f t="shared" si="22"/>
        <v>2816.0000000000005</v>
      </c>
      <c r="X69" s="86">
        <v>2293</v>
      </c>
    </row>
    <row r="70" spans="1:24" ht="12.75" x14ac:dyDescent="0.2">
      <c r="A70" s="710"/>
      <c r="B70" s="14" t="s">
        <v>483</v>
      </c>
      <c r="C70" s="7" t="s">
        <v>101</v>
      </c>
      <c r="D70" s="44" t="s">
        <v>281</v>
      </c>
      <c r="E70" s="5">
        <v>19.399999999999999</v>
      </c>
      <c r="F70" s="3">
        <v>0.22</v>
      </c>
      <c r="G70" s="3"/>
      <c r="H70" s="13">
        <v>0</v>
      </c>
      <c r="I70" s="29">
        <f t="shared" si="12"/>
        <v>0</v>
      </c>
      <c r="J70" s="30">
        <f t="shared" si="13"/>
        <v>0</v>
      </c>
      <c r="K70" s="93">
        <f t="shared" si="14"/>
        <v>8250</v>
      </c>
      <c r="L70" s="93">
        <f t="shared" si="15"/>
        <v>6050.0000000000009</v>
      </c>
      <c r="M70" s="93">
        <f t="shared" si="16"/>
        <v>5775</v>
      </c>
      <c r="N70" s="64">
        <v>5500</v>
      </c>
      <c r="O70" s="69">
        <v>2940</v>
      </c>
      <c r="P70" s="132">
        <f t="shared" si="17"/>
        <v>2560</v>
      </c>
      <c r="Q70" s="133"/>
      <c r="R70" s="218">
        <f t="shared" si="18"/>
        <v>9075.0000000000018</v>
      </c>
      <c r="S70" s="218">
        <f t="shared" si="19"/>
        <v>6655.0000000000018</v>
      </c>
      <c r="T70" s="218">
        <f t="shared" si="20"/>
        <v>6352.5000000000009</v>
      </c>
      <c r="U70" s="111">
        <f t="shared" si="23"/>
        <v>6050.0000000000009</v>
      </c>
      <c r="V70" s="108">
        <f t="shared" si="25"/>
        <v>3234.0000000000005</v>
      </c>
      <c r="W70" s="79">
        <f t="shared" si="22"/>
        <v>2816.0000000000005</v>
      </c>
      <c r="X70" s="86">
        <v>2293</v>
      </c>
    </row>
    <row r="71" spans="1:24" ht="12.75" x14ac:dyDescent="0.2">
      <c r="A71" s="710"/>
      <c r="B71" s="14" t="s">
        <v>240</v>
      </c>
      <c r="C71" s="7" t="s">
        <v>102</v>
      </c>
      <c r="D71" s="44" t="s">
        <v>282</v>
      </c>
      <c r="E71" s="3">
        <v>32</v>
      </c>
      <c r="F71" s="3">
        <v>0.24</v>
      </c>
      <c r="G71" s="34"/>
      <c r="H71" s="13">
        <v>0</v>
      </c>
      <c r="I71" s="29">
        <f t="shared" si="12"/>
        <v>0</v>
      </c>
      <c r="J71" s="30">
        <f t="shared" si="13"/>
        <v>0</v>
      </c>
      <c r="K71" s="93">
        <f t="shared" si="14"/>
        <v>9525</v>
      </c>
      <c r="L71" s="93">
        <f t="shared" si="15"/>
        <v>6985.0000000000009</v>
      </c>
      <c r="M71" s="93">
        <f t="shared" si="16"/>
        <v>6667.5</v>
      </c>
      <c r="N71" s="64">
        <v>6350</v>
      </c>
      <c r="O71" s="69">
        <v>3280</v>
      </c>
      <c r="P71" s="132">
        <f t="shared" si="17"/>
        <v>3070</v>
      </c>
      <c r="Q71" s="133"/>
      <c r="R71" s="218">
        <f t="shared" si="18"/>
        <v>10477.500000000002</v>
      </c>
      <c r="S71" s="218">
        <f t="shared" si="19"/>
        <v>7683.5000000000018</v>
      </c>
      <c r="T71" s="218">
        <f t="shared" si="20"/>
        <v>7334.2500000000009</v>
      </c>
      <c r="U71" s="111">
        <f t="shared" si="23"/>
        <v>6985.0000000000009</v>
      </c>
      <c r="V71" s="108">
        <f t="shared" si="25"/>
        <v>3608.0000000000005</v>
      </c>
      <c r="W71" s="79">
        <f t="shared" si="22"/>
        <v>3377.0000000000005</v>
      </c>
      <c r="X71" s="86">
        <v>2736</v>
      </c>
    </row>
    <row r="72" spans="1:24" ht="12.75" x14ac:dyDescent="0.2">
      <c r="A72" s="710"/>
      <c r="B72" s="14" t="s">
        <v>484</v>
      </c>
      <c r="C72" s="7" t="s">
        <v>102</v>
      </c>
      <c r="D72" s="44" t="s">
        <v>282</v>
      </c>
      <c r="E72" s="3">
        <v>32</v>
      </c>
      <c r="F72" s="3">
        <v>0.24</v>
      </c>
      <c r="G72" s="34"/>
      <c r="H72" s="13">
        <v>0</v>
      </c>
      <c r="I72" s="29">
        <f t="shared" si="12"/>
        <v>0</v>
      </c>
      <c r="J72" s="30">
        <f t="shared" si="13"/>
        <v>0</v>
      </c>
      <c r="K72" s="93">
        <f t="shared" si="14"/>
        <v>8775</v>
      </c>
      <c r="L72" s="93">
        <f t="shared" si="15"/>
        <v>6435.0000000000009</v>
      </c>
      <c r="M72" s="93">
        <f t="shared" si="16"/>
        <v>6142.5</v>
      </c>
      <c r="N72" s="64">
        <v>5850</v>
      </c>
      <c r="O72" s="69">
        <v>2780</v>
      </c>
      <c r="P72" s="132">
        <f t="shared" si="17"/>
        <v>3070</v>
      </c>
      <c r="Q72" s="133"/>
      <c r="R72" s="218">
        <f t="shared" si="18"/>
        <v>9652.5000000000018</v>
      </c>
      <c r="S72" s="218">
        <f t="shared" si="19"/>
        <v>7078.5000000000018</v>
      </c>
      <c r="T72" s="218">
        <f t="shared" si="20"/>
        <v>6756.7500000000009</v>
      </c>
      <c r="U72" s="111">
        <f t="shared" si="23"/>
        <v>6435.0000000000009</v>
      </c>
      <c r="V72" s="108">
        <f t="shared" si="25"/>
        <v>3058.0000000000005</v>
      </c>
      <c r="W72" s="79">
        <f t="shared" si="22"/>
        <v>3377.0000000000005</v>
      </c>
      <c r="X72" s="86">
        <v>2736</v>
      </c>
    </row>
    <row r="73" spans="1:24" ht="12.75" x14ac:dyDescent="0.2">
      <c r="A73" s="710"/>
      <c r="B73" s="14" t="s">
        <v>241</v>
      </c>
      <c r="C73" s="7" t="s">
        <v>103</v>
      </c>
      <c r="D73" s="44" t="s">
        <v>283</v>
      </c>
      <c r="E73" s="3">
        <v>35</v>
      </c>
      <c r="F73" s="3">
        <v>0.3</v>
      </c>
      <c r="G73" s="34"/>
      <c r="H73" s="13">
        <v>0</v>
      </c>
      <c r="I73" s="29">
        <f t="shared" si="12"/>
        <v>0</v>
      </c>
      <c r="J73" s="30">
        <f t="shared" si="13"/>
        <v>0</v>
      </c>
      <c r="K73" s="93">
        <f t="shared" si="14"/>
        <v>14250</v>
      </c>
      <c r="L73" s="93">
        <f t="shared" si="15"/>
        <v>10450</v>
      </c>
      <c r="M73" s="93">
        <f t="shared" si="16"/>
        <v>9975</v>
      </c>
      <c r="N73" s="64">
        <v>9500</v>
      </c>
      <c r="O73" s="69">
        <v>5556</v>
      </c>
      <c r="P73" s="132">
        <f t="shared" si="17"/>
        <v>3944</v>
      </c>
      <c r="Q73" s="133"/>
      <c r="R73" s="218">
        <f t="shared" si="18"/>
        <v>15675</v>
      </c>
      <c r="S73" s="218">
        <f t="shared" si="19"/>
        <v>11495.000000000002</v>
      </c>
      <c r="T73" s="218">
        <f t="shared" si="20"/>
        <v>10972.5</v>
      </c>
      <c r="U73" s="111">
        <f t="shared" si="23"/>
        <v>10450</v>
      </c>
      <c r="V73" s="108">
        <f t="shared" si="25"/>
        <v>6111.6</v>
      </c>
      <c r="W73" s="79">
        <f t="shared" si="22"/>
        <v>4338.3999999999996</v>
      </c>
      <c r="X73" s="86">
        <v>3429</v>
      </c>
    </row>
    <row r="74" spans="1:24" ht="12.75" x14ac:dyDescent="0.2">
      <c r="A74" s="710"/>
      <c r="B74" s="14" t="s">
        <v>485</v>
      </c>
      <c r="C74" s="7" t="s">
        <v>103</v>
      </c>
      <c r="D74" s="44" t="s">
        <v>283</v>
      </c>
      <c r="E74" s="3">
        <v>35</v>
      </c>
      <c r="F74" s="3">
        <v>0.3</v>
      </c>
      <c r="G74" s="34"/>
      <c r="H74" s="13">
        <v>0</v>
      </c>
      <c r="I74" s="29">
        <f t="shared" si="12"/>
        <v>0</v>
      </c>
      <c r="J74" s="30">
        <f t="shared" si="13"/>
        <v>0</v>
      </c>
      <c r="K74" s="93">
        <f t="shared" si="14"/>
        <v>13200</v>
      </c>
      <c r="L74" s="93">
        <f t="shared" si="15"/>
        <v>9680</v>
      </c>
      <c r="M74" s="93">
        <f t="shared" si="16"/>
        <v>9240</v>
      </c>
      <c r="N74" s="64">
        <v>8800</v>
      </c>
      <c r="O74" s="69">
        <v>4856.7</v>
      </c>
      <c r="P74" s="132">
        <f t="shared" si="17"/>
        <v>3943.3</v>
      </c>
      <c r="Q74" s="133"/>
      <c r="R74" s="218">
        <f t="shared" si="18"/>
        <v>14520</v>
      </c>
      <c r="S74" s="218">
        <f t="shared" si="19"/>
        <v>10648</v>
      </c>
      <c r="T74" s="218">
        <f t="shared" si="20"/>
        <v>10164</v>
      </c>
      <c r="U74" s="111">
        <f t="shared" si="23"/>
        <v>9680</v>
      </c>
      <c r="V74" s="108">
        <f t="shared" si="25"/>
        <v>5342.37</v>
      </c>
      <c r="W74" s="79">
        <f t="shared" si="22"/>
        <v>4337.63</v>
      </c>
      <c r="X74" s="86">
        <v>3429</v>
      </c>
    </row>
    <row r="75" spans="1:24" ht="12.75" customHeight="1" x14ac:dyDescent="0.2">
      <c r="A75" s="710"/>
      <c r="B75" s="14" t="s">
        <v>242</v>
      </c>
      <c r="C75" s="7" t="s">
        <v>100</v>
      </c>
      <c r="D75" s="44" t="s">
        <v>290</v>
      </c>
      <c r="E75" s="5">
        <v>43.5</v>
      </c>
      <c r="F75" s="3">
        <v>0.42</v>
      </c>
      <c r="G75" s="3"/>
      <c r="H75" s="13">
        <v>0</v>
      </c>
      <c r="I75" s="29">
        <f t="shared" si="12"/>
        <v>0</v>
      </c>
      <c r="J75" s="30">
        <f t="shared" si="13"/>
        <v>0</v>
      </c>
      <c r="K75" s="93">
        <f t="shared" si="14"/>
        <v>18750</v>
      </c>
      <c r="L75" s="93">
        <f t="shared" si="15"/>
        <v>13750.000000000002</v>
      </c>
      <c r="M75" s="93">
        <f t="shared" si="16"/>
        <v>13125</v>
      </c>
      <c r="N75" s="64">
        <v>12500</v>
      </c>
      <c r="O75" s="69">
        <v>5956.5</v>
      </c>
      <c r="P75" s="132">
        <f t="shared" si="17"/>
        <v>6543.5</v>
      </c>
      <c r="Q75" s="133"/>
      <c r="R75" s="218">
        <f t="shared" si="18"/>
        <v>20625.000000000004</v>
      </c>
      <c r="S75" s="218">
        <f t="shared" si="19"/>
        <v>15125.000000000004</v>
      </c>
      <c r="T75" s="218">
        <f t="shared" si="20"/>
        <v>14437.500000000002</v>
      </c>
      <c r="U75" s="111">
        <f t="shared" si="23"/>
        <v>13750.000000000002</v>
      </c>
      <c r="V75" s="108">
        <f t="shared" si="25"/>
        <v>6552.1500000000005</v>
      </c>
      <c r="W75" s="79">
        <f t="shared" si="22"/>
        <v>7197.8500000000013</v>
      </c>
      <c r="X75" s="86">
        <v>7050</v>
      </c>
    </row>
    <row r="76" spans="1:24" ht="15" customHeight="1" thickBot="1" x14ac:dyDescent="0.25">
      <c r="A76" s="718"/>
      <c r="B76" s="173" t="s">
        <v>486</v>
      </c>
      <c r="C76" s="174" t="s">
        <v>100</v>
      </c>
      <c r="D76" s="175" t="s">
        <v>290</v>
      </c>
      <c r="E76" s="136">
        <v>43.5</v>
      </c>
      <c r="F76" s="176">
        <v>0.42</v>
      </c>
      <c r="G76" s="176"/>
      <c r="H76" s="178">
        <v>0</v>
      </c>
      <c r="I76" s="179">
        <f t="shared" si="12"/>
        <v>0</v>
      </c>
      <c r="J76" s="180">
        <f t="shared" si="13"/>
        <v>0</v>
      </c>
      <c r="K76" s="139">
        <f t="shared" si="14"/>
        <v>17700</v>
      </c>
      <c r="L76" s="139">
        <f t="shared" si="15"/>
        <v>12980.000000000002</v>
      </c>
      <c r="M76" s="139">
        <f t="shared" si="16"/>
        <v>12390</v>
      </c>
      <c r="N76" s="140">
        <v>11800</v>
      </c>
      <c r="O76" s="141">
        <v>5256.5</v>
      </c>
      <c r="P76" s="142">
        <f t="shared" si="17"/>
        <v>6543.5</v>
      </c>
      <c r="Q76" s="143"/>
      <c r="R76" s="219">
        <f t="shared" si="18"/>
        <v>19500</v>
      </c>
      <c r="S76" s="219">
        <f t="shared" si="19"/>
        <v>14300.000000000002</v>
      </c>
      <c r="T76" s="219">
        <f t="shared" si="20"/>
        <v>13650</v>
      </c>
      <c r="U76" s="144">
        <v>13000</v>
      </c>
      <c r="V76" s="108">
        <f t="shared" si="25"/>
        <v>5782.1500000000005</v>
      </c>
      <c r="W76" s="79">
        <f t="shared" si="22"/>
        <v>7217.8499999999995</v>
      </c>
      <c r="X76" s="86">
        <v>7050</v>
      </c>
    </row>
    <row r="77" spans="1:24" ht="13.5" thickTop="1" x14ac:dyDescent="0.2">
      <c r="A77" s="717" t="s">
        <v>161</v>
      </c>
      <c r="B77" s="160" t="s">
        <v>409</v>
      </c>
      <c r="C77" s="161" t="s">
        <v>13</v>
      </c>
      <c r="D77" s="161"/>
      <c r="E77" s="162">
        <v>16</v>
      </c>
      <c r="F77" s="163">
        <v>0.09</v>
      </c>
      <c r="G77" s="163">
        <v>20</v>
      </c>
      <c r="H77" s="164">
        <v>0</v>
      </c>
      <c r="I77" s="165">
        <f t="shared" ref="I77:I118" si="26">H77*E77</f>
        <v>0</v>
      </c>
      <c r="J77" s="166">
        <f t="shared" ref="J77:J118" si="27">F77*H77</f>
        <v>0</v>
      </c>
      <c r="K77" s="167">
        <f t="shared" si="14"/>
        <v>4125</v>
      </c>
      <c r="L77" s="167">
        <f t="shared" si="15"/>
        <v>3025.0000000000005</v>
      </c>
      <c r="M77" s="167">
        <f t="shared" si="16"/>
        <v>2887.5</v>
      </c>
      <c r="N77" s="168">
        <v>2750</v>
      </c>
      <c r="O77" s="169"/>
      <c r="P77" s="170">
        <f t="shared" si="17"/>
        <v>2750</v>
      </c>
      <c r="Q77" s="171"/>
      <c r="R77" s="221">
        <f t="shared" si="18"/>
        <v>4537.5000000000009</v>
      </c>
      <c r="S77" s="221">
        <f t="shared" si="19"/>
        <v>3327.5000000000009</v>
      </c>
      <c r="T77" s="221">
        <f t="shared" si="20"/>
        <v>3176.2500000000005</v>
      </c>
      <c r="U77" s="172">
        <f t="shared" si="23"/>
        <v>3025.0000000000005</v>
      </c>
      <c r="V77" s="108"/>
      <c r="W77" s="79"/>
      <c r="X77" s="86"/>
    </row>
    <row r="78" spans="1:24" ht="12.75" x14ac:dyDescent="0.2">
      <c r="A78" s="710"/>
      <c r="B78" s="14" t="s">
        <v>410</v>
      </c>
      <c r="C78" s="7" t="s">
        <v>75</v>
      </c>
      <c r="D78" s="7"/>
      <c r="E78" s="5">
        <v>33</v>
      </c>
      <c r="F78" s="3">
        <v>0.1</v>
      </c>
      <c r="G78" s="3">
        <v>6</v>
      </c>
      <c r="H78" s="13">
        <v>0</v>
      </c>
      <c r="I78" s="29">
        <f t="shared" si="26"/>
        <v>0</v>
      </c>
      <c r="J78" s="30">
        <f t="shared" si="27"/>
        <v>0</v>
      </c>
      <c r="K78" s="93">
        <f t="shared" si="14"/>
        <v>7800</v>
      </c>
      <c r="L78" s="93">
        <f t="shared" si="15"/>
        <v>5720.0000000000009</v>
      </c>
      <c r="M78" s="93">
        <f t="shared" si="16"/>
        <v>5460</v>
      </c>
      <c r="N78" s="64">
        <v>5200</v>
      </c>
      <c r="O78" s="69"/>
      <c r="P78" s="132">
        <f t="shared" si="17"/>
        <v>5200</v>
      </c>
      <c r="Q78" s="133"/>
      <c r="R78" s="218">
        <f t="shared" si="18"/>
        <v>8580.0000000000018</v>
      </c>
      <c r="S78" s="218">
        <f t="shared" si="19"/>
        <v>6292.0000000000018</v>
      </c>
      <c r="T78" s="218">
        <f t="shared" si="20"/>
        <v>6006.0000000000009</v>
      </c>
      <c r="U78" s="111">
        <f t="shared" si="23"/>
        <v>5720.0000000000009</v>
      </c>
      <c r="V78" s="108"/>
      <c r="W78" s="79"/>
      <c r="X78" s="86"/>
    </row>
    <row r="79" spans="1:24" ht="14.25" customHeight="1" thickBot="1" x14ac:dyDescent="0.25">
      <c r="A79" s="718"/>
      <c r="B79" s="173" t="s">
        <v>303</v>
      </c>
      <c r="C79" s="174" t="s">
        <v>92</v>
      </c>
      <c r="D79" s="175" t="s">
        <v>291</v>
      </c>
      <c r="E79" s="176">
        <v>35</v>
      </c>
      <c r="F79" s="176">
        <v>0.17</v>
      </c>
      <c r="G79" s="177"/>
      <c r="H79" s="178">
        <v>0</v>
      </c>
      <c r="I79" s="179">
        <f t="shared" si="26"/>
        <v>0</v>
      </c>
      <c r="J79" s="180">
        <f t="shared" si="27"/>
        <v>0</v>
      </c>
      <c r="K79" s="139">
        <f t="shared" si="14"/>
        <v>6300</v>
      </c>
      <c r="L79" s="139">
        <f t="shared" si="15"/>
        <v>4620</v>
      </c>
      <c r="M79" s="139">
        <f t="shared" si="16"/>
        <v>4410</v>
      </c>
      <c r="N79" s="140">
        <v>4200</v>
      </c>
      <c r="O79" s="141">
        <v>3093.7</v>
      </c>
      <c r="P79" s="142">
        <f t="shared" si="17"/>
        <v>1106.3000000000002</v>
      </c>
      <c r="Q79" s="143"/>
      <c r="R79" s="219">
        <f t="shared" si="18"/>
        <v>6930</v>
      </c>
      <c r="S79" s="219">
        <f t="shared" si="19"/>
        <v>5082</v>
      </c>
      <c r="T79" s="219">
        <f t="shared" si="20"/>
        <v>4851</v>
      </c>
      <c r="U79" s="144">
        <f t="shared" si="23"/>
        <v>4620</v>
      </c>
      <c r="V79" s="108">
        <f>O79*1.1</f>
        <v>3403.07</v>
      </c>
      <c r="W79" s="79">
        <f t="shared" si="22"/>
        <v>1216.9299999999998</v>
      </c>
      <c r="X79" s="86">
        <v>777.2</v>
      </c>
    </row>
    <row r="80" spans="1:24" ht="13.5" thickTop="1" x14ac:dyDescent="0.2">
      <c r="A80" s="719" t="s">
        <v>153</v>
      </c>
      <c r="B80" s="201" t="s">
        <v>487</v>
      </c>
      <c r="C80" s="202" t="s">
        <v>12</v>
      </c>
      <c r="D80" s="202"/>
      <c r="E80" s="203"/>
      <c r="F80" s="203">
        <v>9.5000000000000001E-2</v>
      </c>
      <c r="G80" s="203">
        <v>10</v>
      </c>
      <c r="H80" s="164">
        <v>0</v>
      </c>
      <c r="I80" s="203">
        <f t="shared" si="26"/>
        <v>0</v>
      </c>
      <c r="J80" s="204">
        <f t="shared" si="27"/>
        <v>0</v>
      </c>
      <c r="K80" s="167">
        <f t="shared" si="14"/>
        <v>3750</v>
      </c>
      <c r="L80" s="167">
        <f t="shared" si="15"/>
        <v>2750</v>
      </c>
      <c r="M80" s="167">
        <f t="shared" si="16"/>
        <v>2625</v>
      </c>
      <c r="N80" s="168">
        <v>2500</v>
      </c>
      <c r="O80" s="169"/>
      <c r="P80" s="170">
        <f t="shared" si="17"/>
        <v>2500</v>
      </c>
      <c r="Q80" s="171"/>
      <c r="R80" s="221">
        <f t="shared" si="18"/>
        <v>4125</v>
      </c>
      <c r="S80" s="221">
        <f t="shared" si="19"/>
        <v>3025.0000000000005</v>
      </c>
      <c r="T80" s="221">
        <f t="shared" si="20"/>
        <v>2887.5</v>
      </c>
      <c r="U80" s="172">
        <f t="shared" si="23"/>
        <v>2750</v>
      </c>
      <c r="V80" s="108"/>
      <c r="W80" s="79"/>
      <c r="X80" s="86"/>
    </row>
    <row r="81" spans="1:25" ht="12.75" x14ac:dyDescent="0.2">
      <c r="A81" s="713"/>
      <c r="B81" s="48" t="s">
        <v>488</v>
      </c>
      <c r="C81" s="40"/>
      <c r="D81" s="40"/>
      <c r="E81" s="36"/>
      <c r="F81" s="117"/>
      <c r="G81" s="117"/>
      <c r="H81" s="37"/>
      <c r="I81" s="38"/>
      <c r="J81" s="81"/>
      <c r="K81" s="94">
        <f>N81*1.5</f>
        <v>0</v>
      </c>
      <c r="L81" s="94">
        <f>N81*1.1</f>
        <v>0</v>
      </c>
      <c r="M81" s="94">
        <f>N81*1.05</f>
        <v>0</v>
      </c>
      <c r="N81" s="82"/>
      <c r="O81" s="83"/>
      <c r="P81" s="189">
        <f>N81-O81</f>
        <v>0</v>
      </c>
      <c r="Q81" s="190"/>
      <c r="R81" s="223">
        <f>U81*1.5</f>
        <v>5362.5</v>
      </c>
      <c r="S81" s="223">
        <f>U81*1.1</f>
        <v>3932.5000000000005</v>
      </c>
      <c r="T81" s="224">
        <f>U81*1.05</f>
        <v>3753.75</v>
      </c>
      <c r="U81" s="118">
        <v>3575</v>
      </c>
      <c r="V81" s="119">
        <f>O81*1.1</f>
        <v>0</v>
      </c>
      <c r="W81" s="89">
        <f>U81-V81</f>
        <v>3575</v>
      </c>
      <c r="X81" s="90"/>
    </row>
    <row r="82" spans="1:25" ht="12.75" x14ac:dyDescent="0.2">
      <c r="A82" s="713"/>
      <c r="B82" s="48" t="s">
        <v>489</v>
      </c>
      <c r="C82" s="52" t="s">
        <v>75</v>
      </c>
      <c r="D82" s="52"/>
      <c r="E82" s="27"/>
      <c r="F82" s="27">
        <v>0.23</v>
      </c>
      <c r="G82" s="27">
        <v>6</v>
      </c>
      <c r="H82" s="13">
        <v>0</v>
      </c>
      <c r="I82" s="27">
        <f t="shared" si="26"/>
        <v>0</v>
      </c>
      <c r="J82" s="28">
        <f t="shared" si="27"/>
        <v>0</v>
      </c>
      <c r="K82" s="93">
        <f t="shared" si="14"/>
        <v>9750</v>
      </c>
      <c r="L82" s="93">
        <f t="shared" si="15"/>
        <v>7150.0000000000009</v>
      </c>
      <c r="M82" s="93">
        <f t="shared" si="16"/>
        <v>6825</v>
      </c>
      <c r="N82" s="64">
        <v>6500</v>
      </c>
      <c r="O82" s="69"/>
      <c r="P82" s="132">
        <f t="shared" si="17"/>
        <v>6500</v>
      </c>
      <c r="Q82" s="133"/>
      <c r="R82" s="218">
        <f t="shared" si="18"/>
        <v>10725.000000000002</v>
      </c>
      <c r="S82" s="218">
        <f t="shared" si="19"/>
        <v>7865.0000000000018</v>
      </c>
      <c r="T82" s="218">
        <f t="shared" si="20"/>
        <v>7507.5000000000009</v>
      </c>
      <c r="U82" s="111">
        <f t="shared" si="23"/>
        <v>7150.0000000000009</v>
      </c>
      <c r="V82" s="108"/>
      <c r="W82" s="79"/>
      <c r="X82" s="86"/>
    </row>
    <row r="83" spans="1:25" ht="15" customHeight="1" x14ac:dyDescent="0.2">
      <c r="A83" s="713"/>
      <c r="B83" s="48" t="s">
        <v>490</v>
      </c>
      <c r="C83" s="52" t="s">
        <v>90</v>
      </c>
      <c r="D83" s="44" t="s">
        <v>291</v>
      </c>
      <c r="E83" s="27"/>
      <c r="F83" s="27">
        <v>0.17</v>
      </c>
      <c r="G83" s="27"/>
      <c r="H83" s="13">
        <v>0</v>
      </c>
      <c r="I83" s="27">
        <f>H83*E83</f>
        <v>0</v>
      </c>
      <c r="J83" s="28">
        <f>F83*H83</f>
        <v>0</v>
      </c>
      <c r="K83" s="93">
        <f>N83*1.5</f>
        <v>12750</v>
      </c>
      <c r="L83" s="93">
        <f>N83*1.1</f>
        <v>9350</v>
      </c>
      <c r="M83" s="93">
        <f>N83*1.05</f>
        <v>8925</v>
      </c>
      <c r="N83" s="64">
        <v>8500</v>
      </c>
      <c r="O83" s="69">
        <v>7394</v>
      </c>
      <c r="P83" s="132">
        <f>N83-O83</f>
        <v>1106</v>
      </c>
      <c r="Q83" s="133"/>
      <c r="R83" s="218">
        <f>U83*1.5</f>
        <v>8910</v>
      </c>
      <c r="S83" s="218">
        <f>U83*1.1</f>
        <v>6534.0000000000009</v>
      </c>
      <c r="T83" s="218">
        <f>U83*1.05</f>
        <v>6237</v>
      </c>
      <c r="U83" s="111">
        <v>5940</v>
      </c>
      <c r="V83" s="119" t="e">
        <f>#REF!*1.1</f>
        <v>#REF!</v>
      </c>
      <c r="W83" s="89" t="e">
        <f>#REF!-V83</f>
        <v>#REF!</v>
      </c>
      <c r="X83" s="90"/>
    </row>
    <row r="84" spans="1:25" ht="13.5" thickBot="1" x14ac:dyDescent="0.25">
      <c r="A84" s="720"/>
      <c r="B84" s="134" t="s">
        <v>491</v>
      </c>
      <c r="C84" s="174" t="s">
        <v>91</v>
      </c>
      <c r="D84" s="205"/>
      <c r="E84" s="192"/>
      <c r="F84" s="177"/>
      <c r="G84" s="177"/>
      <c r="H84" s="206"/>
      <c r="I84" s="194"/>
      <c r="J84" s="195"/>
      <c r="K84" s="196"/>
      <c r="L84" s="196"/>
      <c r="M84" s="196"/>
      <c r="N84" s="197"/>
      <c r="O84" s="198"/>
      <c r="P84" s="199"/>
      <c r="Q84" s="200"/>
      <c r="R84" s="219">
        <f>U84*1.5</f>
        <v>14025</v>
      </c>
      <c r="S84" s="219">
        <f>U84*1.1</f>
        <v>10285</v>
      </c>
      <c r="T84" s="219">
        <f>U84*1.05</f>
        <v>9817.5</v>
      </c>
      <c r="U84" s="144">
        <v>9350</v>
      </c>
      <c r="V84" s="108">
        <f>O83*1.1</f>
        <v>8133.4000000000005</v>
      </c>
      <c r="W84" s="79">
        <f>U83-V84</f>
        <v>-2193.4000000000005</v>
      </c>
      <c r="X84" s="86">
        <v>777.2</v>
      </c>
    </row>
    <row r="85" spans="1:25" ht="13.5" thickTop="1" x14ac:dyDescent="0.2">
      <c r="A85" s="717" t="s">
        <v>154</v>
      </c>
      <c r="B85" s="160" t="s">
        <v>492</v>
      </c>
      <c r="C85" s="181" t="s">
        <v>62</v>
      </c>
      <c r="D85" s="181"/>
      <c r="E85" s="207">
        <v>16.5</v>
      </c>
      <c r="F85" s="163">
        <v>0.1</v>
      </c>
      <c r="G85" s="163">
        <v>10</v>
      </c>
      <c r="H85" s="164">
        <v>0</v>
      </c>
      <c r="I85" s="165">
        <f t="shared" si="26"/>
        <v>0</v>
      </c>
      <c r="J85" s="166">
        <f t="shared" si="27"/>
        <v>0</v>
      </c>
      <c r="K85" s="167">
        <f t="shared" si="14"/>
        <v>2400</v>
      </c>
      <c r="L85" s="167">
        <f t="shared" si="15"/>
        <v>1760.0000000000002</v>
      </c>
      <c r="M85" s="167">
        <f t="shared" si="16"/>
        <v>1680</v>
      </c>
      <c r="N85" s="168">
        <v>1600</v>
      </c>
      <c r="O85" s="169"/>
      <c r="P85" s="170">
        <f t="shared" si="17"/>
        <v>1600</v>
      </c>
      <c r="Q85" s="171"/>
      <c r="R85" s="221">
        <f t="shared" si="18"/>
        <v>2775</v>
      </c>
      <c r="S85" s="221">
        <f t="shared" si="19"/>
        <v>2035.0000000000002</v>
      </c>
      <c r="T85" s="221">
        <f t="shared" si="20"/>
        <v>1942.5</v>
      </c>
      <c r="U85" s="172">
        <v>1850</v>
      </c>
      <c r="V85" s="108"/>
      <c r="W85" s="79"/>
      <c r="X85" s="86"/>
    </row>
    <row r="86" spans="1:25" s="26" customFormat="1" ht="18" customHeight="1" thickBot="1" x14ac:dyDescent="0.25">
      <c r="A86" s="718"/>
      <c r="B86" s="173" t="s">
        <v>493</v>
      </c>
      <c r="C86" s="174" t="s">
        <v>104</v>
      </c>
      <c r="D86" s="175" t="s">
        <v>285</v>
      </c>
      <c r="E86" s="136">
        <v>14.2</v>
      </c>
      <c r="F86" s="176">
        <v>0.12</v>
      </c>
      <c r="G86" s="176"/>
      <c r="H86" s="178">
        <v>0</v>
      </c>
      <c r="I86" s="179">
        <f t="shared" si="26"/>
        <v>0</v>
      </c>
      <c r="J86" s="180">
        <f t="shared" si="27"/>
        <v>0</v>
      </c>
      <c r="K86" s="139">
        <f t="shared" si="14"/>
        <v>4200</v>
      </c>
      <c r="L86" s="139">
        <f t="shared" si="15"/>
        <v>3080.0000000000005</v>
      </c>
      <c r="M86" s="139">
        <f t="shared" si="16"/>
        <v>2940</v>
      </c>
      <c r="N86" s="140">
        <v>2800</v>
      </c>
      <c r="O86" s="141">
        <v>1691</v>
      </c>
      <c r="P86" s="142">
        <f t="shared" si="17"/>
        <v>1109</v>
      </c>
      <c r="Q86" s="143"/>
      <c r="R86" s="219">
        <f t="shared" si="18"/>
        <v>4650</v>
      </c>
      <c r="S86" s="219">
        <f t="shared" si="19"/>
        <v>3410.0000000000005</v>
      </c>
      <c r="T86" s="219">
        <f t="shared" si="20"/>
        <v>3255</v>
      </c>
      <c r="U86" s="144">
        <v>3100</v>
      </c>
      <c r="V86" s="108">
        <f>O86*1.1</f>
        <v>1860.1000000000001</v>
      </c>
      <c r="W86" s="79">
        <f t="shared" si="22"/>
        <v>1239.8999999999999</v>
      </c>
      <c r="X86" s="86">
        <v>780</v>
      </c>
      <c r="Y86" s="115"/>
    </row>
    <row r="87" spans="1:25" ht="13.5" thickTop="1" x14ac:dyDescent="0.2">
      <c r="A87" s="717" t="s">
        <v>155</v>
      </c>
      <c r="B87" s="160" t="s">
        <v>29</v>
      </c>
      <c r="C87" s="181" t="s">
        <v>63</v>
      </c>
      <c r="D87" s="181"/>
      <c r="E87" s="162">
        <v>9</v>
      </c>
      <c r="F87" s="163">
        <v>6.7000000000000004E-2</v>
      </c>
      <c r="G87" s="163">
        <v>10</v>
      </c>
      <c r="H87" s="164">
        <v>0</v>
      </c>
      <c r="I87" s="165">
        <f t="shared" si="26"/>
        <v>0</v>
      </c>
      <c r="J87" s="166">
        <f t="shared" si="27"/>
        <v>0</v>
      </c>
      <c r="K87" s="167">
        <f t="shared" ref="K87:K126" si="28">N87*1.5</f>
        <v>2047.5</v>
      </c>
      <c r="L87" s="167">
        <f t="shared" ref="L87:L126" si="29">N87*1.1</f>
        <v>1501.5000000000002</v>
      </c>
      <c r="M87" s="167">
        <f t="shared" ref="M87:M126" si="30">N87*1.05</f>
        <v>1433.25</v>
      </c>
      <c r="N87" s="168">
        <v>1365</v>
      </c>
      <c r="O87" s="169"/>
      <c r="P87" s="170">
        <f t="shared" ref="P87:P126" si="31">N87-O87</f>
        <v>1365</v>
      </c>
      <c r="Q87" s="171"/>
      <c r="R87" s="221">
        <f t="shared" ref="R87:R126" si="32">U87*1.5</f>
        <v>2265</v>
      </c>
      <c r="S87" s="221">
        <f t="shared" ref="S87:S127" si="33">U87*1.1</f>
        <v>1661.0000000000002</v>
      </c>
      <c r="T87" s="221">
        <f t="shared" ref="T87:T127" si="34">U87*1.05</f>
        <v>1585.5</v>
      </c>
      <c r="U87" s="172">
        <v>1510</v>
      </c>
      <c r="V87" s="108"/>
      <c r="W87" s="79"/>
      <c r="X87" s="86"/>
    </row>
    <row r="88" spans="1:25" ht="12.75" x14ac:dyDescent="0.2">
      <c r="A88" s="710"/>
      <c r="B88" s="14" t="s">
        <v>30</v>
      </c>
      <c r="C88" s="7" t="s">
        <v>64</v>
      </c>
      <c r="D88" s="7"/>
      <c r="E88" s="5">
        <v>10</v>
      </c>
      <c r="F88" s="3">
        <v>7.0000000000000007E-2</v>
      </c>
      <c r="G88" s="3">
        <v>10</v>
      </c>
      <c r="H88" s="13">
        <v>0</v>
      </c>
      <c r="I88" s="29">
        <f t="shared" si="26"/>
        <v>0</v>
      </c>
      <c r="J88" s="30">
        <f t="shared" si="27"/>
        <v>0</v>
      </c>
      <c r="K88" s="93">
        <f t="shared" si="28"/>
        <v>2205</v>
      </c>
      <c r="L88" s="93">
        <f t="shared" si="29"/>
        <v>1617.0000000000002</v>
      </c>
      <c r="M88" s="93">
        <f t="shared" si="30"/>
        <v>1543.5</v>
      </c>
      <c r="N88" s="64">
        <v>1470</v>
      </c>
      <c r="O88" s="69"/>
      <c r="P88" s="132">
        <f t="shared" si="31"/>
        <v>1470</v>
      </c>
      <c r="Q88" s="133"/>
      <c r="R88" s="218">
        <f t="shared" si="32"/>
        <v>2430</v>
      </c>
      <c r="S88" s="218">
        <f t="shared" si="33"/>
        <v>1782.0000000000002</v>
      </c>
      <c r="T88" s="218">
        <f t="shared" si="34"/>
        <v>1701</v>
      </c>
      <c r="U88" s="111">
        <v>1620</v>
      </c>
      <c r="V88" s="108"/>
      <c r="W88" s="79"/>
      <c r="X88" s="86"/>
    </row>
    <row r="89" spans="1:25" ht="12.75" x14ac:dyDescent="0.2">
      <c r="A89" s="710"/>
      <c r="B89" s="14" t="s">
        <v>384</v>
      </c>
      <c r="C89" s="7" t="s">
        <v>77</v>
      </c>
      <c r="D89" s="7"/>
      <c r="E89" s="5">
        <v>32</v>
      </c>
      <c r="F89" s="3">
        <v>0.2</v>
      </c>
      <c r="G89" s="3">
        <v>6</v>
      </c>
      <c r="H89" s="13">
        <v>0</v>
      </c>
      <c r="I89" s="29">
        <f t="shared" si="26"/>
        <v>0</v>
      </c>
      <c r="J89" s="30">
        <f t="shared" si="27"/>
        <v>0</v>
      </c>
      <c r="K89" s="93">
        <f t="shared" si="28"/>
        <v>6840</v>
      </c>
      <c r="L89" s="93">
        <f t="shared" si="29"/>
        <v>5016</v>
      </c>
      <c r="M89" s="93">
        <f t="shared" si="30"/>
        <v>4788</v>
      </c>
      <c r="N89" s="64">
        <v>4560</v>
      </c>
      <c r="O89" s="69"/>
      <c r="P89" s="132">
        <f t="shared" si="31"/>
        <v>4560</v>
      </c>
      <c r="Q89" s="133"/>
      <c r="R89" s="218">
        <f t="shared" si="32"/>
        <v>7530</v>
      </c>
      <c r="S89" s="218">
        <f t="shared" si="33"/>
        <v>5522</v>
      </c>
      <c r="T89" s="218">
        <f t="shared" si="34"/>
        <v>5271</v>
      </c>
      <c r="U89" s="111">
        <v>5020</v>
      </c>
      <c r="V89" s="108"/>
      <c r="W89" s="79"/>
      <c r="X89" s="86"/>
    </row>
    <row r="90" spans="1:25" ht="17.25" customHeight="1" x14ac:dyDescent="0.2">
      <c r="A90" s="710"/>
      <c r="B90" s="14" t="s">
        <v>317</v>
      </c>
      <c r="C90" s="7" t="s">
        <v>104</v>
      </c>
      <c r="D90" s="44" t="s">
        <v>285</v>
      </c>
      <c r="E90" s="3">
        <v>14</v>
      </c>
      <c r="F90" s="3">
        <v>0.12</v>
      </c>
      <c r="G90" s="34"/>
      <c r="H90" s="13">
        <v>0</v>
      </c>
      <c r="I90" s="29">
        <f t="shared" si="26"/>
        <v>0</v>
      </c>
      <c r="J90" s="30">
        <f t="shared" si="27"/>
        <v>0</v>
      </c>
      <c r="K90" s="93">
        <f t="shared" si="28"/>
        <v>5670</v>
      </c>
      <c r="L90" s="93">
        <f t="shared" si="29"/>
        <v>4158</v>
      </c>
      <c r="M90" s="93">
        <f t="shared" si="30"/>
        <v>3969</v>
      </c>
      <c r="N90" s="64">
        <v>3780</v>
      </c>
      <c r="O90" s="69">
        <v>2671.4</v>
      </c>
      <c r="P90" s="132">
        <f t="shared" si="31"/>
        <v>1108.5999999999999</v>
      </c>
      <c r="Q90" s="133"/>
      <c r="R90" s="218">
        <f t="shared" si="32"/>
        <v>6240</v>
      </c>
      <c r="S90" s="218">
        <f t="shared" si="33"/>
        <v>4576</v>
      </c>
      <c r="T90" s="218">
        <f t="shared" si="34"/>
        <v>4368</v>
      </c>
      <c r="U90" s="111">
        <v>4160</v>
      </c>
      <c r="V90" s="108">
        <f>O90*1.1</f>
        <v>2938.5400000000004</v>
      </c>
      <c r="W90" s="79">
        <f>U90-V90</f>
        <v>1221.4599999999996</v>
      </c>
      <c r="X90" s="86">
        <v>780</v>
      </c>
    </row>
    <row r="91" spans="1:25" ht="15" customHeight="1" thickBot="1" x14ac:dyDescent="0.25">
      <c r="A91" s="718"/>
      <c r="B91" s="173" t="s">
        <v>318</v>
      </c>
      <c r="C91" s="174" t="s">
        <v>365</v>
      </c>
      <c r="D91" s="175" t="s">
        <v>286</v>
      </c>
      <c r="E91" s="176">
        <v>16.5</v>
      </c>
      <c r="F91" s="176">
        <v>0.17</v>
      </c>
      <c r="G91" s="177"/>
      <c r="H91" s="178">
        <v>0</v>
      </c>
      <c r="I91" s="179">
        <f t="shared" si="26"/>
        <v>0</v>
      </c>
      <c r="J91" s="180">
        <f t="shared" si="27"/>
        <v>0</v>
      </c>
      <c r="K91" s="139">
        <f t="shared" si="28"/>
        <v>6000</v>
      </c>
      <c r="L91" s="139">
        <f t="shared" si="29"/>
        <v>4400</v>
      </c>
      <c r="M91" s="139">
        <f t="shared" si="30"/>
        <v>4200</v>
      </c>
      <c r="N91" s="140">
        <v>4000</v>
      </c>
      <c r="O91" s="141">
        <v>2846.55</v>
      </c>
      <c r="P91" s="142">
        <f t="shared" si="31"/>
        <v>1153.4499999999998</v>
      </c>
      <c r="Q91" s="143"/>
      <c r="R91" s="219">
        <f t="shared" si="32"/>
        <v>6600</v>
      </c>
      <c r="S91" s="219">
        <f t="shared" si="33"/>
        <v>4840</v>
      </c>
      <c r="T91" s="219">
        <f t="shared" si="34"/>
        <v>4620</v>
      </c>
      <c r="U91" s="144">
        <f t="shared" si="23"/>
        <v>4400</v>
      </c>
      <c r="V91" s="108">
        <f>O91*1.1</f>
        <v>3131.2050000000004</v>
      </c>
      <c r="W91" s="79">
        <f>U91-V91</f>
        <v>1268.7949999999996</v>
      </c>
      <c r="X91" s="86"/>
    </row>
    <row r="92" spans="1:25" ht="13.5" thickTop="1" x14ac:dyDescent="0.2">
      <c r="A92" s="717" t="s">
        <v>156</v>
      </c>
      <c r="B92" s="160" t="s">
        <v>31</v>
      </c>
      <c r="C92" s="181" t="s">
        <v>65</v>
      </c>
      <c r="D92" s="181"/>
      <c r="E92" s="162">
        <v>8</v>
      </c>
      <c r="F92" s="163">
        <v>9.5000000000000001E-2</v>
      </c>
      <c r="G92" s="163">
        <v>10</v>
      </c>
      <c r="H92" s="164">
        <v>0</v>
      </c>
      <c r="I92" s="165">
        <f t="shared" si="26"/>
        <v>0</v>
      </c>
      <c r="J92" s="166">
        <f t="shared" si="27"/>
        <v>0</v>
      </c>
      <c r="K92" s="167">
        <f t="shared" si="28"/>
        <v>982.5</v>
      </c>
      <c r="L92" s="167">
        <f t="shared" si="29"/>
        <v>720.50000000000011</v>
      </c>
      <c r="M92" s="167">
        <f t="shared" si="30"/>
        <v>687.75</v>
      </c>
      <c r="N92" s="168">
        <v>655</v>
      </c>
      <c r="O92" s="169"/>
      <c r="P92" s="170">
        <f t="shared" si="31"/>
        <v>655</v>
      </c>
      <c r="Q92" s="171"/>
      <c r="R92" s="221">
        <f t="shared" si="32"/>
        <v>1132.5</v>
      </c>
      <c r="S92" s="221">
        <f t="shared" si="33"/>
        <v>830.50000000000011</v>
      </c>
      <c r="T92" s="221">
        <f t="shared" si="34"/>
        <v>792.75</v>
      </c>
      <c r="U92" s="172">
        <v>755</v>
      </c>
      <c r="V92" s="108"/>
      <c r="W92" s="79"/>
      <c r="X92" s="86"/>
    </row>
    <row r="93" spans="1:25" ht="12.75" x14ac:dyDescent="0.2">
      <c r="A93" s="710"/>
      <c r="B93" s="14" t="s">
        <v>494</v>
      </c>
      <c r="C93" s="7" t="s">
        <v>86</v>
      </c>
      <c r="D93" s="7"/>
      <c r="E93" s="5">
        <v>12.5</v>
      </c>
      <c r="F93" s="3">
        <v>0</v>
      </c>
      <c r="G93" s="3">
        <v>12</v>
      </c>
      <c r="H93" s="13">
        <v>0</v>
      </c>
      <c r="I93" s="29">
        <f t="shared" si="26"/>
        <v>0</v>
      </c>
      <c r="J93" s="30">
        <f t="shared" si="27"/>
        <v>0</v>
      </c>
      <c r="K93" s="93">
        <f t="shared" si="28"/>
        <v>1650</v>
      </c>
      <c r="L93" s="93">
        <f t="shared" si="29"/>
        <v>1210</v>
      </c>
      <c r="M93" s="93">
        <f t="shared" si="30"/>
        <v>1155</v>
      </c>
      <c r="N93" s="64">
        <v>1100</v>
      </c>
      <c r="O93" s="69"/>
      <c r="P93" s="132">
        <f t="shared" si="31"/>
        <v>1100</v>
      </c>
      <c r="Q93" s="133"/>
      <c r="R93" s="218">
        <f t="shared" si="32"/>
        <v>1815</v>
      </c>
      <c r="S93" s="218">
        <f t="shared" si="33"/>
        <v>1331</v>
      </c>
      <c r="T93" s="218">
        <f t="shared" si="34"/>
        <v>1270.5</v>
      </c>
      <c r="U93" s="111">
        <f t="shared" si="23"/>
        <v>1210</v>
      </c>
      <c r="V93" s="108"/>
      <c r="W93" s="79"/>
      <c r="X93" s="86"/>
    </row>
    <row r="94" spans="1:25" ht="14.25" customHeight="1" thickBot="1" x14ac:dyDescent="0.25">
      <c r="A94" s="718"/>
      <c r="B94" s="173" t="s">
        <v>495</v>
      </c>
      <c r="C94" s="174" t="s">
        <v>105</v>
      </c>
      <c r="D94" s="175" t="s">
        <v>291</v>
      </c>
      <c r="E94" s="136">
        <v>15.2</v>
      </c>
      <c r="F94" s="176">
        <v>0.17</v>
      </c>
      <c r="G94" s="176"/>
      <c r="H94" s="178">
        <v>0</v>
      </c>
      <c r="I94" s="179">
        <f t="shared" si="26"/>
        <v>0</v>
      </c>
      <c r="J94" s="180">
        <f t="shared" si="27"/>
        <v>0</v>
      </c>
      <c r="K94" s="139">
        <f t="shared" si="28"/>
        <v>3150</v>
      </c>
      <c r="L94" s="139">
        <f t="shared" si="29"/>
        <v>2310</v>
      </c>
      <c r="M94" s="139">
        <f t="shared" si="30"/>
        <v>2205</v>
      </c>
      <c r="N94" s="140">
        <v>2100</v>
      </c>
      <c r="O94" s="141">
        <v>993.7</v>
      </c>
      <c r="P94" s="142">
        <f t="shared" si="31"/>
        <v>1106.3</v>
      </c>
      <c r="Q94" s="143"/>
      <c r="R94" s="219">
        <f t="shared" si="32"/>
        <v>3465</v>
      </c>
      <c r="S94" s="219">
        <f t="shared" si="33"/>
        <v>2541</v>
      </c>
      <c r="T94" s="219">
        <f t="shared" si="34"/>
        <v>2425.5</v>
      </c>
      <c r="U94" s="144">
        <f t="shared" ref="U94:U134" si="35">N94*1.1</f>
        <v>2310</v>
      </c>
      <c r="V94" s="108">
        <f>O94*1.1</f>
        <v>1093.0700000000002</v>
      </c>
      <c r="W94" s="79">
        <f>U94-V94</f>
        <v>1216.9299999999998</v>
      </c>
      <c r="X94" s="86">
        <v>777.2</v>
      </c>
    </row>
    <row r="95" spans="1:25" ht="12.75" customHeight="1" thickTop="1" x14ac:dyDescent="0.2">
      <c r="A95" s="724" t="s">
        <v>460</v>
      </c>
      <c r="B95" s="160" t="s">
        <v>496</v>
      </c>
      <c r="C95" s="181" t="s">
        <v>66</v>
      </c>
      <c r="D95" s="181"/>
      <c r="E95" s="162">
        <v>13.5</v>
      </c>
      <c r="F95" s="163">
        <v>0.1</v>
      </c>
      <c r="G95" s="163">
        <v>10</v>
      </c>
      <c r="H95" s="164">
        <v>0</v>
      </c>
      <c r="I95" s="165">
        <f t="shared" si="26"/>
        <v>0</v>
      </c>
      <c r="J95" s="166">
        <f t="shared" si="27"/>
        <v>0</v>
      </c>
      <c r="K95" s="167">
        <f t="shared" si="28"/>
        <v>2625</v>
      </c>
      <c r="L95" s="167">
        <f t="shared" si="29"/>
        <v>1925.0000000000002</v>
      </c>
      <c r="M95" s="167">
        <f t="shared" si="30"/>
        <v>1837.5</v>
      </c>
      <c r="N95" s="168">
        <v>1750</v>
      </c>
      <c r="O95" s="169"/>
      <c r="P95" s="170">
        <f t="shared" si="31"/>
        <v>1750</v>
      </c>
      <c r="Q95" s="171"/>
      <c r="R95" s="221">
        <f t="shared" si="32"/>
        <v>3015</v>
      </c>
      <c r="S95" s="221">
        <f t="shared" si="33"/>
        <v>2211</v>
      </c>
      <c r="T95" s="221">
        <f t="shared" si="34"/>
        <v>2110.5</v>
      </c>
      <c r="U95" s="172">
        <v>2010</v>
      </c>
      <c r="V95" s="108"/>
      <c r="W95" s="79"/>
      <c r="X95" s="86"/>
    </row>
    <row r="96" spans="1:25" ht="18" customHeight="1" thickBot="1" x14ac:dyDescent="0.25">
      <c r="A96" s="725"/>
      <c r="B96" s="173" t="s">
        <v>497</v>
      </c>
      <c r="C96" s="174" t="s">
        <v>106</v>
      </c>
      <c r="D96" s="175" t="s">
        <v>292</v>
      </c>
      <c r="E96" s="136">
        <v>18</v>
      </c>
      <c r="F96" s="176">
        <v>0.17</v>
      </c>
      <c r="G96" s="176"/>
      <c r="H96" s="178">
        <v>0</v>
      </c>
      <c r="I96" s="179">
        <f t="shared" si="26"/>
        <v>0</v>
      </c>
      <c r="J96" s="180">
        <f t="shared" si="27"/>
        <v>0</v>
      </c>
      <c r="K96" s="139">
        <f t="shared" si="28"/>
        <v>6000</v>
      </c>
      <c r="L96" s="139">
        <f t="shared" si="29"/>
        <v>4400</v>
      </c>
      <c r="M96" s="139">
        <f t="shared" si="30"/>
        <v>4200</v>
      </c>
      <c r="N96" s="140">
        <v>4000</v>
      </c>
      <c r="O96" s="141">
        <v>2506</v>
      </c>
      <c r="P96" s="142">
        <f t="shared" si="31"/>
        <v>1494</v>
      </c>
      <c r="Q96" s="143"/>
      <c r="R96" s="219">
        <f t="shared" si="32"/>
        <v>6600</v>
      </c>
      <c r="S96" s="219">
        <f t="shared" si="33"/>
        <v>4840</v>
      </c>
      <c r="T96" s="219">
        <f t="shared" si="34"/>
        <v>4620</v>
      </c>
      <c r="U96" s="144">
        <f t="shared" si="35"/>
        <v>4400</v>
      </c>
      <c r="V96" s="108">
        <f>O96*1.1</f>
        <v>2756.6000000000004</v>
      </c>
      <c r="W96" s="79">
        <f>U96-V96</f>
        <v>1643.3999999999996</v>
      </c>
      <c r="X96" s="86">
        <v>1040</v>
      </c>
    </row>
    <row r="97" spans="1:25" ht="13.5" thickTop="1" x14ac:dyDescent="0.2">
      <c r="A97" s="717" t="s">
        <v>157</v>
      </c>
      <c r="B97" s="160" t="s">
        <v>411</v>
      </c>
      <c r="C97" s="181" t="s">
        <v>67</v>
      </c>
      <c r="D97" s="181"/>
      <c r="E97" s="162">
        <v>13.5</v>
      </c>
      <c r="F97" s="163">
        <v>7.0000000000000007E-2</v>
      </c>
      <c r="G97" s="163">
        <v>10</v>
      </c>
      <c r="H97" s="164">
        <v>0</v>
      </c>
      <c r="I97" s="165">
        <f t="shared" si="26"/>
        <v>0</v>
      </c>
      <c r="J97" s="166">
        <f t="shared" si="27"/>
        <v>0</v>
      </c>
      <c r="K97" s="167">
        <f t="shared" si="28"/>
        <v>2625</v>
      </c>
      <c r="L97" s="167">
        <f t="shared" si="29"/>
        <v>1925.0000000000002</v>
      </c>
      <c r="M97" s="167">
        <f t="shared" si="30"/>
        <v>1837.5</v>
      </c>
      <c r="N97" s="168">
        <v>1750</v>
      </c>
      <c r="O97" s="169"/>
      <c r="P97" s="170">
        <f t="shared" si="31"/>
        <v>1750</v>
      </c>
      <c r="Q97" s="171"/>
      <c r="R97" s="221">
        <f t="shared" si="32"/>
        <v>3015</v>
      </c>
      <c r="S97" s="221">
        <f t="shared" si="33"/>
        <v>2211</v>
      </c>
      <c r="T97" s="221">
        <f t="shared" si="34"/>
        <v>2110.5</v>
      </c>
      <c r="U97" s="172">
        <v>2010</v>
      </c>
      <c r="V97" s="108"/>
      <c r="W97" s="79"/>
      <c r="X97" s="86"/>
    </row>
    <row r="98" spans="1:25" ht="12.75" x14ac:dyDescent="0.2">
      <c r="A98" s="710"/>
      <c r="B98" s="14" t="s">
        <v>412</v>
      </c>
      <c r="C98" s="7" t="s">
        <v>68</v>
      </c>
      <c r="D98" s="7"/>
      <c r="E98" s="5">
        <v>14.2</v>
      </c>
      <c r="F98" s="3">
        <v>0.09</v>
      </c>
      <c r="G98" s="3">
        <v>10</v>
      </c>
      <c r="H98" s="13">
        <v>0</v>
      </c>
      <c r="I98" s="29">
        <f t="shared" si="26"/>
        <v>0</v>
      </c>
      <c r="J98" s="30">
        <f t="shared" si="27"/>
        <v>0</v>
      </c>
      <c r="K98" s="93">
        <f t="shared" si="28"/>
        <v>2812.5</v>
      </c>
      <c r="L98" s="93">
        <f t="shared" si="29"/>
        <v>2062.5</v>
      </c>
      <c r="M98" s="93">
        <f t="shared" si="30"/>
        <v>1968.75</v>
      </c>
      <c r="N98" s="64">
        <v>1875</v>
      </c>
      <c r="O98" s="69"/>
      <c r="P98" s="132">
        <f t="shared" si="31"/>
        <v>1875</v>
      </c>
      <c r="Q98" s="133"/>
      <c r="R98" s="218">
        <f t="shared" si="32"/>
        <v>3247.5</v>
      </c>
      <c r="S98" s="218">
        <f t="shared" si="33"/>
        <v>2381.5</v>
      </c>
      <c r="T98" s="218">
        <f t="shared" si="34"/>
        <v>2273.25</v>
      </c>
      <c r="U98" s="111">
        <v>2165</v>
      </c>
      <c r="V98" s="108"/>
      <c r="W98" s="79"/>
      <c r="X98" s="86"/>
    </row>
    <row r="99" spans="1:25" ht="12.75" x14ac:dyDescent="0.2">
      <c r="A99" s="710"/>
      <c r="B99" s="14" t="s">
        <v>413</v>
      </c>
      <c r="C99" s="7" t="s">
        <v>69</v>
      </c>
      <c r="D99" s="7"/>
      <c r="E99" s="5">
        <v>16.5</v>
      </c>
      <c r="F99" s="3">
        <v>0.09</v>
      </c>
      <c r="G99" s="3">
        <v>10</v>
      </c>
      <c r="H99" s="13">
        <v>0</v>
      </c>
      <c r="I99" s="29">
        <f t="shared" si="26"/>
        <v>0</v>
      </c>
      <c r="J99" s="30">
        <f t="shared" si="27"/>
        <v>0</v>
      </c>
      <c r="K99" s="93">
        <f t="shared" si="28"/>
        <v>3000</v>
      </c>
      <c r="L99" s="93">
        <f t="shared" si="29"/>
        <v>2200</v>
      </c>
      <c r="M99" s="93">
        <f t="shared" si="30"/>
        <v>2100</v>
      </c>
      <c r="N99" s="64">
        <v>2000</v>
      </c>
      <c r="O99" s="69"/>
      <c r="P99" s="132">
        <f t="shared" si="31"/>
        <v>2000</v>
      </c>
      <c r="Q99" s="133"/>
      <c r="R99" s="218">
        <f t="shared" si="32"/>
        <v>3450</v>
      </c>
      <c r="S99" s="218">
        <f t="shared" si="33"/>
        <v>2530</v>
      </c>
      <c r="T99" s="218">
        <f t="shared" si="34"/>
        <v>2415</v>
      </c>
      <c r="U99" s="111">
        <v>2300</v>
      </c>
      <c r="V99" s="108"/>
      <c r="W99" s="79"/>
      <c r="X99" s="86"/>
    </row>
    <row r="100" spans="1:25" ht="12.75" x14ac:dyDescent="0.2">
      <c r="A100" s="710"/>
      <c r="B100" s="14" t="s">
        <v>414</v>
      </c>
      <c r="C100" s="7" t="s">
        <v>84</v>
      </c>
      <c r="D100" s="7"/>
      <c r="E100" s="5">
        <v>34.5</v>
      </c>
      <c r="F100" s="3">
        <v>0.2</v>
      </c>
      <c r="G100" s="3">
        <v>6</v>
      </c>
      <c r="H100" s="13">
        <v>0</v>
      </c>
      <c r="I100" s="29">
        <f t="shared" si="26"/>
        <v>0</v>
      </c>
      <c r="J100" s="30">
        <f t="shared" si="27"/>
        <v>0</v>
      </c>
      <c r="K100" s="93">
        <f t="shared" si="28"/>
        <v>5550</v>
      </c>
      <c r="L100" s="93">
        <f t="shared" si="29"/>
        <v>4070.0000000000005</v>
      </c>
      <c r="M100" s="93">
        <f t="shared" si="30"/>
        <v>3885</v>
      </c>
      <c r="N100" s="64">
        <v>3700</v>
      </c>
      <c r="O100" s="69"/>
      <c r="P100" s="132">
        <f t="shared" si="31"/>
        <v>3700</v>
      </c>
      <c r="Q100" s="133"/>
      <c r="R100" s="218">
        <f t="shared" si="32"/>
        <v>6105.0000000000009</v>
      </c>
      <c r="S100" s="218">
        <f t="shared" si="33"/>
        <v>4477.0000000000009</v>
      </c>
      <c r="T100" s="218">
        <f t="shared" si="34"/>
        <v>4273.5000000000009</v>
      </c>
      <c r="U100" s="111">
        <f t="shared" si="35"/>
        <v>4070.0000000000005</v>
      </c>
      <c r="V100" s="108"/>
      <c r="W100" s="79"/>
      <c r="X100" s="86"/>
    </row>
    <row r="101" spans="1:25" s="26" customFormat="1" ht="12.75" x14ac:dyDescent="0.2">
      <c r="A101" s="710"/>
      <c r="B101" s="14" t="s">
        <v>36</v>
      </c>
      <c r="C101" s="7" t="s">
        <v>104</v>
      </c>
      <c r="D101" s="44" t="s">
        <v>293</v>
      </c>
      <c r="E101" s="5">
        <v>17</v>
      </c>
      <c r="F101" s="3">
        <v>0.15</v>
      </c>
      <c r="G101" s="3"/>
      <c r="H101" s="13">
        <v>0</v>
      </c>
      <c r="I101" s="29">
        <f t="shared" si="26"/>
        <v>0</v>
      </c>
      <c r="J101" s="30">
        <f t="shared" si="27"/>
        <v>0</v>
      </c>
      <c r="K101" s="93">
        <f t="shared" si="28"/>
        <v>4725</v>
      </c>
      <c r="L101" s="93">
        <f t="shared" si="29"/>
        <v>3465.0000000000005</v>
      </c>
      <c r="M101" s="93">
        <f t="shared" si="30"/>
        <v>3307.5</v>
      </c>
      <c r="N101" s="64">
        <v>3150</v>
      </c>
      <c r="O101" s="69">
        <v>2102.58</v>
      </c>
      <c r="P101" s="132">
        <f t="shared" si="31"/>
        <v>1047.42</v>
      </c>
      <c r="Q101" s="133"/>
      <c r="R101" s="218">
        <f t="shared" si="32"/>
        <v>5197.5000000000009</v>
      </c>
      <c r="S101" s="218">
        <f t="shared" si="33"/>
        <v>3811.5000000000009</v>
      </c>
      <c r="T101" s="218">
        <f t="shared" si="34"/>
        <v>3638.2500000000005</v>
      </c>
      <c r="U101" s="111">
        <f t="shared" si="35"/>
        <v>3465.0000000000005</v>
      </c>
      <c r="V101" s="108">
        <f>O101*1.1</f>
        <v>2312.8380000000002</v>
      </c>
      <c r="W101" s="79">
        <f>U101-V101</f>
        <v>1152.1620000000003</v>
      </c>
      <c r="X101" s="86">
        <v>928.3</v>
      </c>
      <c r="Y101" s="115"/>
    </row>
    <row r="102" spans="1:25" ht="17.25" customHeight="1" x14ac:dyDescent="0.2">
      <c r="A102" s="710"/>
      <c r="B102" s="14" t="s">
        <v>37</v>
      </c>
      <c r="C102" s="7" t="s">
        <v>106</v>
      </c>
      <c r="D102" s="32" t="s">
        <v>292</v>
      </c>
      <c r="E102" s="5">
        <v>26</v>
      </c>
      <c r="F102" s="3">
        <v>0.17</v>
      </c>
      <c r="G102" s="3"/>
      <c r="H102" s="13">
        <v>0</v>
      </c>
      <c r="I102" s="29">
        <f t="shared" si="26"/>
        <v>0</v>
      </c>
      <c r="J102" s="30">
        <f t="shared" si="27"/>
        <v>0</v>
      </c>
      <c r="K102" s="93">
        <f t="shared" si="28"/>
        <v>6600</v>
      </c>
      <c r="L102" s="93">
        <f t="shared" si="29"/>
        <v>4840</v>
      </c>
      <c r="M102" s="93">
        <f t="shared" si="30"/>
        <v>4620</v>
      </c>
      <c r="N102" s="64">
        <v>4400</v>
      </c>
      <c r="O102" s="69">
        <v>2906.15</v>
      </c>
      <c r="P102" s="132">
        <f t="shared" si="31"/>
        <v>1493.85</v>
      </c>
      <c r="Q102" s="133"/>
      <c r="R102" s="218">
        <f t="shared" si="32"/>
        <v>7260</v>
      </c>
      <c r="S102" s="218">
        <f t="shared" si="33"/>
        <v>5324</v>
      </c>
      <c r="T102" s="218">
        <f t="shared" si="34"/>
        <v>5082</v>
      </c>
      <c r="U102" s="111">
        <f t="shared" si="35"/>
        <v>4840</v>
      </c>
      <c r="V102" s="108">
        <f>O102*1.1</f>
        <v>3196.7650000000003</v>
      </c>
      <c r="W102" s="79">
        <f>U102-V102</f>
        <v>1643.2349999999997</v>
      </c>
      <c r="X102" s="86">
        <v>1040</v>
      </c>
    </row>
    <row r="103" spans="1:25" ht="13.5" thickBot="1" x14ac:dyDescent="0.25">
      <c r="A103" s="718"/>
      <c r="B103" s="173" t="s">
        <v>38</v>
      </c>
      <c r="C103" s="174" t="s">
        <v>107</v>
      </c>
      <c r="D103" s="175" t="s">
        <v>294</v>
      </c>
      <c r="E103" s="136">
        <v>28.5</v>
      </c>
      <c r="F103" s="176">
        <v>0.2</v>
      </c>
      <c r="G103" s="176"/>
      <c r="H103" s="178">
        <v>0</v>
      </c>
      <c r="I103" s="179">
        <f t="shared" si="26"/>
        <v>0</v>
      </c>
      <c r="J103" s="180">
        <f t="shared" si="27"/>
        <v>0</v>
      </c>
      <c r="K103" s="139">
        <f t="shared" si="28"/>
        <v>8325</v>
      </c>
      <c r="L103" s="139">
        <f t="shared" si="29"/>
        <v>6105.0000000000009</v>
      </c>
      <c r="M103" s="139">
        <f t="shared" si="30"/>
        <v>5827.5</v>
      </c>
      <c r="N103" s="140">
        <v>5550</v>
      </c>
      <c r="O103" s="141">
        <v>3668</v>
      </c>
      <c r="P103" s="142">
        <f t="shared" si="31"/>
        <v>1882</v>
      </c>
      <c r="Q103" s="143"/>
      <c r="R103" s="219">
        <f t="shared" si="32"/>
        <v>9157.5000000000018</v>
      </c>
      <c r="S103" s="219">
        <f t="shared" si="33"/>
        <v>6715.5000000000018</v>
      </c>
      <c r="T103" s="219">
        <f t="shared" si="34"/>
        <v>6410.2500000000009</v>
      </c>
      <c r="U103" s="144">
        <f t="shared" si="35"/>
        <v>6105.0000000000009</v>
      </c>
      <c r="V103" s="108">
        <f>O103*1.1</f>
        <v>4034.8</v>
      </c>
      <c r="W103" s="79">
        <f>U103-V103</f>
        <v>2070.2000000000007</v>
      </c>
      <c r="X103" s="86">
        <v>1676</v>
      </c>
    </row>
    <row r="104" spans="1:25" ht="13.5" thickTop="1" x14ac:dyDescent="0.2">
      <c r="A104" s="717" t="s">
        <v>158</v>
      </c>
      <c r="B104" s="160" t="s">
        <v>425</v>
      </c>
      <c r="C104" s="181" t="s">
        <v>10</v>
      </c>
      <c r="D104" s="181"/>
      <c r="E104" s="162">
        <v>15</v>
      </c>
      <c r="F104" s="163">
        <v>0.1</v>
      </c>
      <c r="G104" s="163">
        <v>10</v>
      </c>
      <c r="H104" s="164">
        <v>0</v>
      </c>
      <c r="I104" s="165">
        <f t="shared" si="26"/>
        <v>0</v>
      </c>
      <c r="J104" s="166">
        <f t="shared" si="27"/>
        <v>0</v>
      </c>
      <c r="K104" s="167">
        <f t="shared" si="28"/>
        <v>2775</v>
      </c>
      <c r="L104" s="167">
        <f t="shared" si="29"/>
        <v>2035.0000000000002</v>
      </c>
      <c r="M104" s="167">
        <f t="shared" si="30"/>
        <v>1942.5</v>
      </c>
      <c r="N104" s="168">
        <v>1850</v>
      </c>
      <c r="O104" s="169"/>
      <c r="P104" s="170">
        <f t="shared" si="31"/>
        <v>1850</v>
      </c>
      <c r="Q104" s="171"/>
      <c r="R104" s="221">
        <f t="shared" si="32"/>
        <v>3052.5000000000005</v>
      </c>
      <c r="S104" s="221">
        <f t="shared" si="33"/>
        <v>2238.5000000000005</v>
      </c>
      <c r="T104" s="221">
        <f t="shared" si="34"/>
        <v>2136.7500000000005</v>
      </c>
      <c r="U104" s="172">
        <f t="shared" si="35"/>
        <v>2035.0000000000002</v>
      </c>
      <c r="V104" s="108"/>
      <c r="W104" s="79"/>
      <c r="X104" s="86"/>
    </row>
    <row r="105" spans="1:25" ht="15" customHeight="1" thickBot="1" x14ac:dyDescent="0.25">
      <c r="A105" s="718"/>
      <c r="B105" s="173" t="s">
        <v>253</v>
      </c>
      <c r="C105" s="174" t="s">
        <v>105</v>
      </c>
      <c r="D105" s="175" t="s">
        <v>291</v>
      </c>
      <c r="E105" s="136">
        <v>16</v>
      </c>
      <c r="F105" s="176">
        <v>0.17</v>
      </c>
      <c r="G105" s="176"/>
      <c r="H105" s="178">
        <v>0</v>
      </c>
      <c r="I105" s="179">
        <f t="shared" si="26"/>
        <v>0</v>
      </c>
      <c r="J105" s="180">
        <f t="shared" si="27"/>
        <v>0</v>
      </c>
      <c r="K105" s="139">
        <f t="shared" si="28"/>
        <v>5850</v>
      </c>
      <c r="L105" s="139">
        <f t="shared" si="29"/>
        <v>4290</v>
      </c>
      <c r="M105" s="139">
        <f t="shared" si="30"/>
        <v>4095</v>
      </c>
      <c r="N105" s="140">
        <v>3900</v>
      </c>
      <c r="O105" s="141">
        <v>2793.7</v>
      </c>
      <c r="P105" s="142">
        <f t="shared" si="31"/>
        <v>1106.3000000000002</v>
      </c>
      <c r="Q105" s="143"/>
      <c r="R105" s="219">
        <f t="shared" si="32"/>
        <v>6435</v>
      </c>
      <c r="S105" s="219">
        <f t="shared" si="33"/>
        <v>4719</v>
      </c>
      <c r="T105" s="219">
        <f t="shared" si="34"/>
        <v>4504.5</v>
      </c>
      <c r="U105" s="144">
        <f t="shared" si="35"/>
        <v>4290</v>
      </c>
      <c r="V105" s="108">
        <f>O105*1.1</f>
        <v>3073.07</v>
      </c>
      <c r="W105" s="79">
        <f>U105-V105</f>
        <v>1216.9299999999998</v>
      </c>
      <c r="X105" s="86"/>
    </row>
    <row r="106" spans="1:25" ht="13.5" thickTop="1" x14ac:dyDescent="0.2">
      <c r="A106" s="717" t="s">
        <v>162</v>
      </c>
      <c r="B106" s="160" t="s">
        <v>39</v>
      </c>
      <c r="C106" s="181" t="s">
        <v>92</v>
      </c>
      <c r="D106" s="208" t="s">
        <v>281</v>
      </c>
      <c r="E106" s="162">
        <v>28</v>
      </c>
      <c r="F106" s="163">
        <v>0.16</v>
      </c>
      <c r="G106" s="163"/>
      <c r="H106" s="164">
        <v>0</v>
      </c>
      <c r="I106" s="165">
        <f t="shared" si="26"/>
        <v>0</v>
      </c>
      <c r="J106" s="166">
        <f t="shared" si="27"/>
        <v>0</v>
      </c>
      <c r="K106" s="167">
        <f t="shared" si="28"/>
        <v>8775</v>
      </c>
      <c r="L106" s="167">
        <f t="shared" si="29"/>
        <v>6435.0000000000009</v>
      </c>
      <c r="M106" s="167">
        <f t="shared" si="30"/>
        <v>6142.5</v>
      </c>
      <c r="N106" s="168">
        <v>5850</v>
      </c>
      <c r="O106" s="169">
        <v>3289.9</v>
      </c>
      <c r="P106" s="170">
        <f t="shared" si="31"/>
        <v>2560.1</v>
      </c>
      <c r="Q106" s="171"/>
      <c r="R106" s="221">
        <f t="shared" si="32"/>
        <v>9652.5000000000018</v>
      </c>
      <c r="S106" s="221">
        <f t="shared" si="33"/>
        <v>7078.5000000000018</v>
      </c>
      <c r="T106" s="221">
        <f t="shared" si="34"/>
        <v>6756.7500000000009</v>
      </c>
      <c r="U106" s="172">
        <f t="shared" si="35"/>
        <v>6435.0000000000009</v>
      </c>
      <c r="V106" s="108">
        <f>O106*1.1</f>
        <v>3618.8900000000003</v>
      </c>
      <c r="W106" s="79">
        <f>U106-V106</f>
        <v>2816.1100000000006</v>
      </c>
      <c r="X106" s="86">
        <v>2293</v>
      </c>
    </row>
    <row r="107" spans="1:25" ht="12.75" x14ac:dyDescent="0.2">
      <c r="A107" s="710"/>
      <c r="B107" s="14" t="s">
        <v>40</v>
      </c>
      <c r="C107" s="16" t="s">
        <v>108</v>
      </c>
      <c r="D107" s="32" t="s">
        <v>281</v>
      </c>
      <c r="E107" s="3">
        <v>20.5</v>
      </c>
      <c r="F107" s="3">
        <v>0.22</v>
      </c>
      <c r="G107" s="34"/>
      <c r="H107" s="13">
        <v>0</v>
      </c>
      <c r="I107" s="29">
        <f t="shared" si="26"/>
        <v>0</v>
      </c>
      <c r="J107" s="30">
        <f t="shared" si="27"/>
        <v>0</v>
      </c>
      <c r="K107" s="93">
        <f t="shared" si="28"/>
        <v>10200</v>
      </c>
      <c r="L107" s="93">
        <f t="shared" si="29"/>
        <v>7480.0000000000009</v>
      </c>
      <c r="M107" s="93">
        <f t="shared" si="30"/>
        <v>7140</v>
      </c>
      <c r="N107" s="64">
        <v>6800</v>
      </c>
      <c r="O107" s="69">
        <v>4239.8999999999996</v>
      </c>
      <c r="P107" s="132">
        <f t="shared" si="31"/>
        <v>2560.1000000000004</v>
      </c>
      <c r="Q107" s="133"/>
      <c r="R107" s="218">
        <f t="shared" si="32"/>
        <v>11220.000000000002</v>
      </c>
      <c r="S107" s="218">
        <f t="shared" si="33"/>
        <v>8228.0000000000018</v>
      </c>
      <c r="T107" s="218">
        <f t="shared" si="34"/>
        <v>7854.0000000000009</v>
      </c>
      <c r="U107" s="111">
        <f t="shared" si="35"/>
        <v>7480.0000000000009</v>
      </c>
      <c r="V107" s="108">
        <f>O107*1.1</f>
        <v>4663.8900000000003</v>
      </c>
      <c r="W107" s="79">
        <f>U107-V107</f>
        <v>2816.1100000000006</v>
      </c>
      <c r="X107" s="86">
        <v>2293</v>
      </c>
    </row>
    <row r="108" spans="1:25" ht="12.75" x14ac:dyDescent="0.2">
      <c r="A108" s="710"/>
      <c r="B108" s="14" t="s">
        <v>41</v>
      </c>
      <c r="C108" s="7" t="s">
        <v>255</v>
      </c>
      <c r="D108" s="32" t="s">
        <v>282</v>
      </c>
      <c r="E108" s="3">
        <v>22.5</v>
      </c>
      <c r="F108" s="3">
        <v>0.24</v>
      </c>
      <c r="G108" s="34"/>
      <c r="H108" s="13">
        <v>0</v>
      </c>
      <c r="I108" s="29">
        <f t="shared" si="26"/>
        <v>0</v>
      </c>
      <c r="J108" s="30">
        <f t="shared" si="27"/>
        <v>0</v>
      </c>
      <c r="K108" s="93">
        <f t="shared" si="28"/>
        <v>9825</v>
      </c>
      <c r="L108" s="93">
        <f t="shared" si="29"/>
        <v>7205.0000000000009</v>
      </c>
      <c r="M108" s="93">
        <f t="shared" si="30"/>
        <v>6877.5</v>
      </c>
      <c r="N108" s="64">
        <v>6550</v>
      </c>
      <c r="O108" s="69">
        <v>3480</v>
      </c>
      <c r="P108" s="132">
        <f t="shared" si="31"/>
        <v>3070</v>
      </c>
      <c r="Q108" s="133"/>
      <c r="R108" s="218">
        <f t="shared" si="32"/>
        <v>10807.500000000002</v>
      </c>
      <c r="S108" s="218">
        <f t="shared" si="33"/>
        <v>7925.5000000000018</v>
      </c>
      <c r="T108" s="218">
        <f t="shared" si="34"/>
        <v>7565.2500000000009</v>
      </c>
      <c r="U108" s="111">
        <f t="shared" si="35"/>
        <v>7205.0000000000009</v>
      </c>
      <c r="V108" s="108">
        <f>O108*1.1</f>
        <v>3828.0000000000005</v>
      </c>
      <c r="W108" s="79">
        <f>U108-V108</f>
        <v>3377.0000000000005</v>
      </c>
      <c r="X108" s="86"/>
    </row>
    <row r="109" spans="1:25" ht="12.75" x14ac:dyDescent="0.2">
      <c r="A109" s="710"/>
      <c r="B109" s="14" t="s">
        <v>254</v>
      </c>
      <c r="C109" s="7" t="s">
        <v>109</v>
      </c>
      <c r="D109" s="32" t="s">
        <v>282</v>
      </c>
      <c r="E109" s="3">
        <v>30.5</v>
      </c>
      <c r="F109" s="3">
        <v>0.24</v>
      </c>
      <c r="G109" s="34"/>
      <c r="H109" s="13">
        <v>0</v>
      </c>
      <c r="I109" s="29">
        <f t="shared" si="26"/>
        <v>0</v>
      </c>
      <c r="J109" s="30">
        <f t="shared" si="27"/>
        <v>0</v>
      </c>
      <c r="K109" s="93">
        <f t="shared" si="28"/>
        <v>13125</v>
      </c>
      <c r="L109" s="93">
        <f t="shared" si="29"/>
        <v>9625</v>
      </c>
      <c r="M109" s="93">
        <f t="shared" si="30"/>
        <v>9187.5</v>
      </c>
      <c r="N109" s="64">
        <v>8750</v>
      </c>
      <c r="O109" s="69">
        <v>5681</v>
      </c>
      <c r="P109" s="132">
        <f t="shared" si="31"/>
        <v>3069</v>
      </c>
      <c r="Q109" s="133"/>
      <c r="R109" s="218">
        <f t="shared" si="32"/>
        <v>14437.5</v>
      </c>
      <c r="S109" s="218">
        <f t="shared" si="33"/>
        <v>10587.5</v>
      </c>
      <c r="T109" s="218">
        <f t="shared" si="34"/>
        <v>10106.25</v>
      </c>
      <c r="U109" s="111">
        <f t="shared" si="35"/>
        <v>9625</v>
      </c>
      <c r="V109" s="108">
        <f>O109*1.1</f>
        <v>6249.1</v>
      </c>
      <c r="W109" s="79">
        <f>U109-V109</f>
        <v>3375.8999999999996</v>
      </c>
      <c r="X109" s="86"/>
    </row>
    <row r="110" spans="1:25" ht="13.5" thickBot="1" x14ac:dyDescent="0.25">
      <c r="A110" s="718"/>
      <c r="B110" s="173" t="s">
        <v>401</v>
      </c>
      <c r="C110" s="174" t="s">
        <v>82</v>
      </c>
      <c r="D110" s="209"/>
      <c r="E110" s="136">
        <v>27.5</v>
      </c>
      <c r="F110" s="176">
        <v>0.2</v>
      </c>
      <c r="G110" s="176">
        <v>6</v>
      </c>
      <c r="H110" s="178">
        <v>0</v>
      </c>
      <c r="I110" s="179">
        <f t="shared" si="26"/>
        <v>0</v>
      </c>
      <c r="J110" s="180">
        <f t="shared" si="27"/>
        <v>0</v>
      </c>
      <c r="K110" s="139">
        <f t="shared" si="28"/>
        <v>7650</v>
      </c>
      <c r="L110" s="139">
        <f t="shared" si="29"/>
        <v>5610</v>
      </c>
      <c r="M110" s="139">
        <f t="shared" si="30"/>
        <v>5355</v>
      </c>
      <c r="N110" s="140">
        <v>5100</v>
      </c>
      <c r="O110" s="141"/>
      <c r="P110" s="142">
        <f t="shared" si="31"/>
        <v>5100</v>
      </c>
      <c r="Q110" s="143"/>
      <c r="R110" s="219">
        <f t="shared" si="32"/>
        <v>8415</v>
      </c>
      <c r="S110" s="219">
        <f t="shared" si="33"/>
        <v>6171.0000000000009</v>
      </c>
      <c r="T110" s="219">
        <f t="shared" si="34"/>
        <v>5890.5</v>
      </c>
      <c r="U110" s="144">
        <f t="shared" si="35"/>
        <v>5610</v>
      </c>
      <c r="V110" s="108"/>
      <c r="W110" s="79"/>
      <c r="X110" s="86"/>
    </row>
    <row r="111" spans="1:25" ht="13.5" thickTop="1" x14ac:dyDescent="0.2">
      <c r="A111" s="717" t="s">
        <v>140</v>
      </c>
      <c r="B111" s="160" t="s">
        <v>184</v>
      </c>
      <c r="C111" s="181" t="s">
        <v>70</v>
      </c>
      <c r="D111" s="210"/>
      <c r="E111" s="162">
        <v>23.5</v>
      </c>
      <c r="F111" s="163">
        <v>0.16</v>
      </c>
      <c r="G111" s="163">
        <v>10</v>
      </c>
      <c r="H111" s="164">
        <v>0</v>
      </c>
      <c r="I111" s="165">
        <f t="shared" si="26"/>
        <v>0</v>
      </c>
      <c r="J111" s="166">
        <f t="shared" si="27"/>
        <v>0</v>
      </c>
      <c r="K111" s="167">
        <f t="shared" si="28"/>
        <v>6225</v>
      </c>
      <c r="L111" s="167">
        <f t="shared" si="29"/>
        <v>4565</v>
      </c>
      <c r="M111" s="167">
        <f t="shared" si="30"/>
        <v>4357.5</v>
      </c>
      <c r="N111" s="168">
        <v>4150</v>
      </c>
      <c r="O111" s="169"/>
      <c r="P111" s="170">
        <f t="shared" si="31"/>
        <v>4150</v>
      </c>
      <c r="Q111" s="171"/>
      <c r="R111" s="221">
        <f t="shared" si="32"/>
        <v>6855</v>
      </c>
      <c r="S111" s="221">
        <f t="shared" si="33"/>
        <v>5027</v>
      </c>
      <c r="T111" s="221">
        <f t="shared" si="34"/>
        <v>4798.5</v>
      </c>
      <c r="U111" s="172">
        <v>4570</v>
      </c>
      <c r="V111" s="108"/>
      <c r="W111" s="79"/>
      <c r="X111" s="86"/>
    </row>
    <row r="112" spans="1:25" ht="12.75" x14ac:dyDescent="0.2">
      <c r="A112" s="710"/>
      <c r="B112" s="14" t="s">
        <v>401</v>
      </c>
      <c r="C112" s="7" t="s">
        <v>82</v>
      </c>
      <c r="D112" s="45"/>
      <c r="E112" s="5">
        <v>27.5</v>
      </c>
      <c r="F112" s="3">
        <v>0.2</v>
      </c>
      <c r="G112" s="3">
        <v>6</v>
      </c>
      <c r="H112" s="13">
        <v>0</v>
      </c>
      <c r="I112" s="29">
        <f t="shared" si="26"/>
        <v>0</v>
      </c>
      <c r="J112" s="30">
        <f t="shared" si="27"/>
        <v>0</v>
      </c>
      <c r="K112" s="93">
        <f t="shared" si="28"/>
        <v>7650</v>
      </c>
      <c r="L112" s="93">
        <f t="shared" si="29"/>
        <v>5610</v>
      </c>
      <c r="M112" s="93">
        <f t="shared" si="30"/>
        <v>5355</v>
      </c>
      <c r="N112" s="64">
        <v>5100</v>
      </c>
      <c r="O112" s="69"/>
      <c r="P112" s="132">
        <f>N112-O112</f>
        <v>5100</v>
      </c>
      <c r="Q112" s="133"/>
      <c r="R112" s="218">
        <f t="shared" si="32"/>
        <v>8415</v>
      </c>
      <c r="S112" s="218">
        <f t="shared" si="33"/>
        <v>6171.0000000000009</v>
      </c>
      <c r="T112" s="218">
        <f t="shared" si="34"/>
        <v>5890.5</v>
      </c>
      <c r="U112" s="111">
        <f t="shared" si="35"/>
        <v>5610</v>
      </c>
      <c r="V112" s="108"/>
      <c r="W112" s="79"/>
      <c r="X112" s="86"/>
    </row>
    <row r="113" spans="1:24" ht="14.25" customHeight="1" x14ac:dyDescent="0.2">
      <c r="A113" s="710"/>
      <c r="B113" s="14" t="s">
        <v>256</v>
      </c>
      <c r="C113" s="7" t="s">
        <v>110</v>
      </c>
      <c r="D113" s="32" t="s">
        <v>295</v>
      </c>
      <c r="E113" s="5">
        <v>28</v>
      </c>
      <c r="F113" s="3">
        <v>0.25</v>
      </c>
      <c r="G113" s="3"/>
      <c r="H113" s="13">
        <v>0</v>
      </c>
      <c r="I113" s="29">
        <f t="shared" si="26"/>
        <v>0</v>
      </c>
      <c r="J113" s="30">
        <f t="shared" si="27"/>
        <v>0</v>
      </c>
      <c r="K113" s="93">
        <f t="shared" si="28"/>
        <v>17775</v>
      </c>
      <c r="L113" s="93">
        <f t="shared" si="29"/>
        <v>13035.000000000002</v>
      </c>
      <c r="M113" s="93">
        <f t="shared" si="30"/>
        <v>12442.5</v>
      </c>
      <c r="N113" s="64">
        <v>11850</v>
      </c>
      <c r="O113" s="69">
        <v>6162</v>
      </c>
      <c r="P113" s="132">
        <f t="shared" si="31"/>
        <v>5688</v>
      </c>
      <c r="Q113" s="133"/>
      <c r="R113" s="218">
        <f t="shared" si="32"/>
        <v>19575</v>
      </c>
      <c r="S113" s="218">
        <f t="shared" si="33"/>
        <v>14355.000000000002</v>
      </c>
      <c r="T113" s="218">
        <f t="shared" si="34"/>
        <v>13702.5</v>
      </c>
      <c r="U113" s="111">
        <v>13050</v>
      </c>
      <c r="V113" s="108">
        <f>O113*1.1</f>
        <v>6778.2000000000007</v>
      </c>
      <c r="W113" s="79">
        <f>U113-V113</f>
        <v>6271.7999999999993</v>
      </c>
      <c r="X113" s="86">
        <v>5608</v>
      </c>
    </row>
    <row r="114" spans="1:24" ht="16.5" customHeight="1" thickBot="1" x14ac:dyDescent="0.25">
      <c r="A114" s="718"/>
      <c r="B114" s="173" t="s">
        <v>257</v>
      </c>
      <c r="C114" s="174" t="s">
        <v>111</v>
      </c>
      <c r="D114" s="211" t="s">
        <v>295</v>
      </c>
      <c r="E114" s="176">
        <v>30.5</v>
      </c>
      <c r="F114" s="176">
        <v>0.42</v>
      </c>
      <c r="G114" s="177"/>
      <c r="H114" s="178">
        <v>0</v>
      </c>
      <c r="I114" s="179">
        <f t="shared" si="26"/>
        <v>0</v>
      </c>
      <c r="J114" s="180">
        <f t="shared" si="27"/>
        <v>0</v>
      </c>
      <c r="K114" s="139">
        <f t="shared" si="28"/>
        <v>22500</v>
      </c>
      <c r="L114" s="139">
        <f t="shared" si="29"/>
        <v>16500</v>
      </c>
      <c r="M114" s="139">
        <f t="shared" si="30"/>
        <v>15750</v>
      </c>
      <c r="N114" s="140">
        <v>15000</v>
      </c>
      <c r="O114" s="141">
        <v>9312</v>
      </c>
      <c r="P114" s="142">
        <f t="shared" si="31"/>
        <v>5688</v>
      </c>
      <c r="Q114" s="143"/>
      <c r="R114" s="219">
        <f t="shared" si="32"/>
        <v>24750</v>
      </c>
      <c r="S114" s="219">
        <f t="shared" si="33"/>
        <v>18150</v>
      </c>
      <c r="T114" s="219">
        <f t="shared" si="34"/>
        <v>17325</v>
      </c>
      <c r="U114" s="144">
        <f t="shared" si="35"/>
        <v>16500</v>
      </c>
      <c r="V114" s="108">
        <f>O114*1.1</f>
        <v>10243.200000000001</v>
      </c>
      <c r="W114" s="79">
        <f>U114-V114</f>
        <v>6256.7999999999993</v>
      </c>
      <c r="X114" s="86">
        <v>5608</v>
      </c>
    </row>
    <row r="115" spans="1:24" ht="13.5" thickTop="1" x14ac:dyDescent="0.2">
      <c r="A115" s="717" t="s">
        <v>141</v>
      </c>
      <c r="B115" s="160" t="s">
        <v>498</v>
      </c>
      <c r="C115" s="181" t="s">
        <v>354</v>
      </c>
      <c r="D115" s="210"/>
      <c r="E115" s="162">
        <v>10.5</v>
      </c>
      <c r="F115" s="163">
        <v>0.02</v>
      </c>
      <c r="G115" s="163">
        <v>10</v>
      </c>
      <c r="H115" s="164">
        <v>0</v>
      </c>
      <c r="I115" s="165">
        <f t="shared" si="26"/>
        <v>0</v>
      </c>
      <c r="J115" s="166">
        <f t="shared" si="27"/>
        <v>0</v>
      </c>
      <c r="K115" s="167">
        <f t="shared" si="28"/>
        <v>6525</v>
      </c>
      <c r="L115" s="167">
        <f t="shared" si="29"/>
        <v>4785</v>
      </c>
      <c r="M115" s="167">
        <f t="shared" si="30"/>
        <v>4567.5</v>
      </c>
      <c r="N115" s="168">
        <v>4350</v>
      </c>
      <c r="O115" s="169"/>
      <c r="P115" s="170">
        <f t="shared" si="31"/>
        <v>4350</v>
      </c>
      <c r="Q115" s="171"/>
      <c r="R115" s="221">
        <f t="shared" si="32"/>
        <v>12375</v>
      </c>
      <c r="S115" s="221">
        <f t="shared" si="33"/>
        <v>9075</v>
      </c>
      <c r="T115" s="221">
        <f t="shared" si="34"/>
        <v>8662.5</v>
      </c>
      <c r="U115" s="172">
        <v>8250</v>
      </c>
      <c r="V115" s="108"/>
      <c r="W115" s="79"/>
      <c r="X115" s="86"/>
    </row>
    <row r="116" spans="1:24" ht="12.75" x14ac:dyDescent="0.2">
      <c r="A116" s="710"/>
      <c r="B116" s="14" t="s">
        <v>499</v>
      </c>
      <c r="C116" s="7" t="s">
        <v>85</v>
      </c>
      <c r="D116" s="45"/>
      <c r="E116" s="5">
        <v>34.799999999999997</v>
      </c>
      <c r="F116" s="3">
        <v>0.25</v>
      </c>
      <c r="G116" s="3">
        <v>6</v>
      </c>
      <c r="H116" s="13">
        <v>0</v>
      </c>
      <c r="I116" s="29">
        <f t="shared" si="26"/>
        <v>0</v>
      </c>
      <c r="J116" s="30">
        <f t="shared" si="27"/>
        <v>0</v>
      </c>
      <c r="K116" s="93">
        <f t="shared" si="28"/>
        <v>11700</v>
      </c>
      <c r="L116" s="93">
        <f t="shared" si="29"/>
        <v>8580</v>
      </c>
      <c r="M116" s="93">
        <f t="shared" si="30"/>
        <v>8190</v>
      </c>
      <c r="N116" s="64">
        <v>7800</v>
      </c>
      <c r="O116" s="69"/>
      <c r="P116" s="132">
        <f t="shared" si="31"/>
        <v>7800</v>
      </c>
      <c r="Q116" s="133"/>
      <c r="R116" s="218">
        <f t="shared" si="32"/>
        <v>12870</v>
      </c>
      <c r="S116" s="218">
        <f t="shared" si="33"/>
        <v>9438</v>
      </c>
      <c r="T116" s="218">
        <f t="shared" si="34"/>
        <v>9009</v>
      </c>
      <c r="U116" s="111">
        <f t="shared" si="35"/>
        <v>8580</v>
      </c>
      <c r="V116" s="108"/>
      <c r="W116" s="79"/>
      <c r="X116" s="86"/>
    </row>
    <row r="117" spans="1:24" ht="12.75" x14ac:dyDescent="0.2">
      <c r="A117" s="710"/>
      <c r="B117" s="14" t="s">
        <v>500</v>
      </c>
      <c r="C117" s="7" t="s">
        <v>92</v>
      </c>
      <c r="D117" s="32" t="s">
        <v>281</v>
      </c>
      <c r="E117" s="5">
        <v>18.399999999999999</v>
      </c>
      <c r="F117" s="3">
        <v>0.16</v>
      </c>
      <c r="G117" s="3"/>
      <c r="H117" s="13">
        <v>0</v>
      </c>
      <c r="I117" s="29">
        <f t="shared" si="26"/>
        <v>0</v>
      </c>
      <c r="J117" s="30">
        <f t="shared" si="27"/>
        <v>0</v>
      </c>
      <c r="K117" s="93">
        <f t="shared" si="28"/>
        <v>10500</v>
      </c>
      <c r="L117" s="93">
        <f t="shared" si="29"/>
        <v>7700.0000000000009</v>
      </c>
      <c r="M117" s="93">
        <f t="shared" si="30"/>
        <v>7350</v>
      </c>
      <c r="N117" s="64">
        <v>7000</v>
      </c>
      <c r="O117" s="69">
        <v>4440</v>
      </c>
      <c r="P117" s="132">
        <f t="shared" si="31"/>
        <v>2560</v>
      </c>
      <c r="Q117" s="133"/>
      <c r="R117" s="218">
        <f t="shared" si="32"/>
        <v>11550.000000000002</v>
      </c>
      <c r="S117" s="218">
        <f t="shared" si="33"/>
        <v>8470.0000000000018</v>
      </c>
      <c r="T117" s="218">
        <f t="shared" si="34"/>
        <v>8085.0000000000009</v>
      </c>
      <c r="U117" s="111">
        <f t="shared" si="35"/>
        <v>7700.0000000000009</v>
      </c>
      <c r="V117" s="108">
        <f>O117*1.1</f>
        <v>4884</v>
      </c>
      <c r="W117" s="79">
        <f>U117-V117</f>
        <v>2816.0000000000009</v>
      </c>
      <c r="X117" s="86">
        <v>2293</v>
      </c>
    </row>
    <row r="118" spans="1:24" ht="13.5" thickBot="1" x14ac:dyDescent="0.25">
      <c r="A118" s="718"/>
      <c r="B118" s="173" t="s">
        <v>501</v>
      </c>
      <c r="C118" s="174" t="s">
        <v>92</v>
      </c>
      <c r="D118" s="211" t="s">
        <v>281</v>
      </c>
      <c r="E118" s="136">
        <v>19</v>
      </c>
      <c r="F118" s="176">
        <v>0.16</v>
      </c>
      <c r="G118" s="176"/>
      <c r="H118" s="178">
        <v>0</v>
      </c>
      <c r="I118" s="179">
        <f t="shared" si="26"/>
        <v>0</v>
      </c>
      <c r="J118" s="180">
        <f t="shared" si="27"/>
        <v>0</v>
      </c>
      <c r="K118" s="139">
        <f t="shared" si="28"/>
        <v>14775</v>
      </c>
      <c r="L118" s="139">
        <f t="shared" si="29"/>
        <v>10835</v>
      </c>
      <c r="M118" s="139">
        <f t="shared" si="30"/>
        <v>10342.5</v>
      </c>
      <c r="N118" s="140">
        <v>9850</v>
      </c>
      <c r="O118" s="141">
        <v>7240</v>
      </c>
      <c r="P118" s="142">
        <f t="shared" si="31"/>
        <v>2610</v>
      </c>
      <c r="Q118" s="143"/>
      <c r="R118" s="219">
        <f t="shared" si="32"/>
        <v>16252.5</v>
      </c>
      <c r="S118" s="219">
        <f t="shared" si="33"/>
        <v>11918.500000000002</v>
      </c>
      <c r="T118" s="219">
        <f t="shared" si="34"/>
        <v>11376.75</v>
      </c>
      <c r="U118" s="144">
        <f t="shared" si="35"/>
        <v>10835</v>
      </c>
      <c r="V118" s="108">
        <f>O118*1.1</f>
        <v>7964.0000000000009</v>
      </c>
      <c r="W118" s="79">
        <f>U118-V118</f>
        <v>2870.9999999999991</v>
      </c>
      <c r="X118" s="86">
        <v>2293</v>
      </c>
    </row>
    <row r="119" spans="1:24" ht="13.5" thickTop="1" x14ac:dyDescent="0.2">
      <c r="A119" s="717" t="s">
        <v>142</v>
      </c>
      <c r="B119" s="160" t="s">
        <v>502</v>
      </c>
      <c r="C119" s="181" t="s">
        <v>73</v>
      </c>
      <c r="D119" s="210"/>
      <c r="E119" s="162">
        <v>13.3</v>
      </c>
      <c r="F119" s="163">
        <v>0.09</v>
      </c>
      <c r="G119" s="163">
        <v>10</v>
      </c>
      <c r="H119" s="164">
        <v>0</v>
      </c>
      <c r="I119" s="165">
        <f t="shared" ref="I119:I135" si="36">H119*E119</f>
        <v>0</v>
      </c>
      <c r="J119" s="166">
        <f t="shared" ref="J119:J135" si="37">F119*H119</f>
        <v>0</v>
      </c>
      <c r="K119" s="167">
        <f t="shared" si="28"/>
        <v>3525</v>
      </c>
      <c r="L119" s="167">
        <f t="shared" si="29"/>
        <v>2585</v>
      </c>
      <c r="M119" s="167">
        <f t="shared" si="30"/>
        <v>2467.5</v>
      </c>
      <c r="N119" s="168">
        <v>2350</v>
      </c>
      <c r="O119" s="169"/>
      <c r="P119" s="170">
        <f t="shared" si="31"/>
        <v>2350</v>
      </c>
      <c r="Q119" s="171"/>
      <c r="R119" s="221">
        <f t="shared" si="32"/>
        <v>4050</v>
      </c>
      <c r="S119" s="221">
        <f t="shared" si="33"/>
        <v>2970.0000000000005</v>
      </c>
      <c r="T119" s="221">
        <f t="shared" si="34"/>
        <v>2835</v>
      </c>
      <c r="U119" s="172">
        <v>2700</v>
      </c>
      <c r="V119" s="108"/>
      <c r="W119" s="79"/>
      <c r="X119" s="86"/>
    </row>
    <row r="120" spans="1:24" ht="12.75" x14ac:dyDescent="0.2">
      <c r="A120" s="710"/>
      <c r="B120" s="14" t="s">
        <v>503</v>
      </c>
      <c r="C120" s="7" t="s">
        <v>72</v>
      </c>
      <c r="D120" s="45"/>
      <c r="E120" s="5">
        <v>18</v>
      </c>
      <c r="F120" s="3">
        <v>0.12</v>
      </c>
      <c r="G120" s="3">
        <v>10</v>
      </c>
      <c r="H120" s="13">
        <v>0</v>
      </c>
      <c r="I120" s="29">
        <f t="shared" si="36"/>
        <v>0</v>
      </c>
      <c r="J120" s="30">
        <f t="shared" si="37"/>
        <v>0</v>
      </c>
      <c r="K120" s="93">
        <f t="shared" si="28"/>
        <v>4350</v>
      </c>
      <c r="L120" s="93">
        <f t="shared" si="29"/>
        <v>3190.0000000000005</v>
      </c>
      <c r="M120" s="93">
        <f t="shared" si="30"/>
        <v>3045</v>
      </c>
      <c r="N120" s="64">
        <v>2900</v>
      </c>
      <c r="O120" s="69"/>
      <c r="P120" s="132">
        <f t="shared" si="31"/>
        <v>2900</v>
      </c>
      <c r="Q120" s="133"/>
      <c r="R120" s="218">
        <f t="shared" si="32"/>
        <v>5002.5</v>
      </c>
      <c r="S120" s="218">
        <f t="shared" si="33"/>
        <v>3668.5000000000005</v>
      </c>
      <c r="T120" s="218">
        <f t="shared" si="34"/>
        <v>3501.75</v>
      </c>
      <c r="U120" s="111">
        <v>3335</v>
      </c>
      <c r="V120" s="108"/>
      <c r="W120" s="79"/>
      <c r="X120" s="86"/>
    </row>
    <row r="121" spans="1:24" ht="12.75" x14ac:dyDescent="0.2">
      <c r="A121" s="710"/>
      <c r="B121" s="14" t="s">
        <v>504</v>
      </c>
      <c r="C121" s="7" t="s">
        <v>71</v>
      </c>
      <c r="D121" s="45"/>
      <c r="E121" s="5">
        <v>26.5</v>
      </c>
      <c r="F121" s="3">
        <v>0.16</v>
      </c>
      <c r="G121" s="3">
        <v>8</v>
      </c>
      <c r="H121" s="13">
        <v>0</v>
      </c>
      <c r="I121" s="29">
        <f t="shared" si="36"/>
        <v>0</v>
      </c>
      <c r="J121" s="30">
        <f t="shared" si="37"/>
        <v>0</v>
      </c>
      <c r="K121" s="93">
        <f t="shared" si="28"/>
        <v>5925</v>
      </c>
      <c r="L121" s="93">
        <f t="shared" si="29"/>
        <v>4345</v>
      </c>
      <c r="M121" s="93">
        <f t="shared" si="30"/>
        <v>4147.5</v>
      </c>
      <c r="N121" s="64">
        <v>3950</v>
      </c>
      <c r="O121" s="69"/>
      <c r="P121" s="132">
        <f t="shared" si="31"/>
        <v>3950</v>
      </c>
      <c r="Q121" s="133"/>
      <c r="R121" s="218">
        <f t="shared" si="32"/>
        <v>6817.5</v>
      </c>
      <c r="S121" s="218">
        <f t="shared" si="33"/>
        <v>4999.5</v>
      </c>
      <c r="T121" s="218">
        <f t="shared" si="34"/>
        <v>4772.25</v>
      </c>
      <c r="U121" s="111">
        <v>4545</v>
      </c>
      <c r="V121" s="108"/>
      <c r="W121" s="79"/>
      <c r="X121" s="86"/>
    </row>
    <row r="122" spans="1:24" ht="12.75" x14ac:dyDescent="0.2">
      <c r="A122" s="710"/>
      <c r="B122" s="14" t="s">
        <v>505</v>
      </c>
      <c r="C122" s="7" t="s">
        <v>78</v>
      </c>
      <c r="D122" s="45"/>
      <c r="E122" s="5">
        <v>37.5</v>
      </c>
      <c r="F122" s="3">
        <v>0.25</v>
      </c>
      <c r="G122" s="3">
        <v>6</v>
      </c>
      <c r="H122" s="13">
        <v>0</v>
      </c>
      <c r="I122" s="29">
        <f t="shared" si="36"/>
        <v>0</v>
      </c>
      <c r="J122" s="30">
        <f t="shared" si="37"/>
        <v>0</v>
      </c>
      <c r="K122" s="93">
        <f t="shared" si="28"/>
        <v>7650</v>
      </c>
      <c r="L122" s="93">
        <f t="shared" si="29"/>
        <v>5610</v>
      </c>
      <c r="M122" s="93">
        <f t="shared" si="30"/>
        <v>5355</v>
      </c>
      <c r="N122" s="64">
        <v>5100</v>
      </c>
      <c r="O122" s="69"/>
      <c r="P122" s="132">
        <f t="shared" si="31"/>
        <v>5100</v>
      </c>
      <c r="Q122" s="133"/>
      <c r="R122" s="218">
        <f t="shared" si="32"/>
        <v>8797.5</v>
      </c>
      <c r="S122" s="218">
        <f t="shared" si="33"/>
        <v>6451.5000000000009</v>
      </c>
      <c r="T122" s="218">
        <f t="shared" si="34"/>
        <v>6158.25</v>
      </c>
      <c r="U122" s="111">
        <v>5865</v>
      </c>
      <c r="V122" s="108"/>
      <c r="W122" s="79"/>
      <c r="X122" s="86"/>
    </row>
    <row r="123" spans="1:24" ht="12.75" x14ac:dyDescent="0.2">
      <c r="A123" s="710"/>
      <c r="B123" s="14" t="s">
        <v>506</v>
      </c>
      <c r="C123" s="7" t="s">
        <v>78</v>
      </c>
      <c r="D123" s="45"/>
      <c r="E123" s="5">
        <v>39.5</v>
      </c>
      <c r="F123" s="3">
        <v>0.25</v>
      </c>
      <c r="G123" s="3">
        <v>6</v>
      </c>
      <c r="H123" s="13">
        <v>0</v>
      </c>
      <c r="I123" s="29">
        <f t="shared" si="36"/>
        <v>0</v>
      </c>
      <c r="J123" s="30">
        <f t="shared" si="37"/>
        <v>0</v>
      </c>
      <c r="K123" s="93">
        <f t="shared" si="28"/>
        <v>10800</v>
      </c>
      <c r="L123" s="93">
        <f t="shared" si="29"/>
        <v>7920.0000000000009</v>
      </c>
      <c r="M123" s="93">
        <f t="shared" si="30"/>
        <v>7560</v>
      </c>
      <c r="N123" s="64">
        <v>7200</v>
      </c>
      <c r="O123" s="69"/>
      <c r="P123" s="132">
        <f t="shared" si="31"/>
        <v>7200</v>
      </c>
      <c r="Q123" s="133"/>
      <c r="R123" s="218">
        <f t="shared" si="32"/>
        <v>12420</v>
      </c>
      <c r="S123" s="218">
        <f t="shared" si="33"/>
        <v>9108</v>
      </c>
      <c r="T123" s="218">
        <f t="shared" si="34"/>
        <v>8694</v>
      </c>
      <c r="U123" s="111">
        <v>8280</v>
      </c>
      <c r="V123" s="108"/>
      <c r="W123" s="79"/>
      <c r="X123" s="86"/>
    </row>
    <row r="124" spans="1:24" ht="12.75" x14ac:dyDescent="0.2">
      <c r="A124" s="710"/>
      <c r="B124" s="14" t="s">
        <v>507</v>
      </c>
      <c r="C124" s="7" t="s">
        <v>79</v>
      </c>
      <c r="D124" s="45"/>
      <c r="E124" s="5">
        <v>26.5</v>
      </c>
      <c r="F124" s="3">
        <v>0.14000000000000001</v>
      </c>
      <c r="G124" s="3">
        <v>8</v>
      </c>
      <c r="H124" s="13">
        <v>0</v>
      </c>
      <c r="I124" s="29">
        <f t="shared" si="36"/>
        <v>0</v>
      </c>
      <c r="J124" s="30">
        <f t="shared" si="37"/>
        <v>0</v>
      </c>
      <c r="K124" s="93">
        <f t="shared" si="28"/>
        <v>7350</v>
      </c>
      <c r="L124" s="93">
        <f t="shared" si="29"/>
        <v>5390</v>
      </c>
      <c r="M124" s="93">
        <f t="shared" si="30"/>
        <v>5145</v>
      </c>
      <c r="N124" s="64">
        <v>4900</v>
      </c>
      <c r="O124" s="69"/>
      <c r="P124" s="132">
        <f t="shared" si="31"/>
        <v>4900</v>
      </c>
      <c r="Q124" s="133"/>
      <c r="R124" s="218">
        <f t="shared" si="32"/>
        <v>8475</v>
      </c>
      <c r="S124" s="218">
        <f t="shared" si="33"/>
        <v>6215.0000000000009</v>
      </c>
      <c r="T124" s="218">
        <f t="shared" si="34"/>
        <v>5932.5</v>
      </c>
      <c r="U124" s="111">
        <v>5650</v>
      </c>
      <c r="V124" s="108"/>
      <c r="W124" s="79"/>
      <c r="X124" s="86"/>
    </row>
    <row r="125" spans="1:24" ht="12.75" x14ac:dyDescent="0.2">
      <c r="A125" s="710"/>
      <c r="B125" s="14" t="s">
        <v>508</v>
      </c>
      <c r="C125" s="7" t="s">
        <v>79</v>
      </c>
      <c r="D125" s="45"/>
      <c r="E125" s="5">
        <v>26.5</v>
      </c>
      <c r="F125" s="3">
        <v>0.14000000000000001</v>
      </c>
      <c r="G125" s="3">
        <v>8</v>
      </c>
      <c r="H125" s="13">
        <v>0</v>
      </c>
      <c r="I125" s="29">
        <f t="shared" si="36"/>
        <v>0</v>
      </c>
      <c r="J125" s="30">
        <f t="shared" si="37"/>
        <v>0</v>
      </c>
      <c r="K125" s="93">
        <f t="shared" si="28"/>
        <v>7350</v>
      </c>
      <c r="L125" s="93">
        <f t="shared" si="29"/>
        <v>5390</v>
      </c>
      <c r="M125" s="93">
        <f t="shared" si="30"/>
        <v>5145</v>
      </c>
      <c r="N125" s="64">
        <v>4900</v>
      </c>
      <c r="O125" s="69"/>
      <c r="P125" s="132">
        <f t="shared" si="31"/>
        <v>4900</v>
      </c>
      <c r="Q125" s="133"/>
      <c r="R125" s="218">
        <f t="shared" si="32"/>
        <v>8475</v>
      </c>
      <c r="S125" s="218">
        <f t="shared" si="33"/>
        <v>6215.0000000000009</v>
      </c>
      <c r="T125" s="218">
        <f t="shared" si="34"/>
        <v>5932.5</v>
      </c>
      <c r="U125" s="111">
        <v>5650</v>
      </c>
      <c r="V125" s="108"/>
      <c r="W125" s="79"/>
      <c r="X125" s="86"/>
    </row>
    <row r="126" spans="1:24" ht="12.75" x14ac:dyDescent="0.2">
      <c r="A126" s="710"/>
      <c r="B126" s="14" t="s">
        <v>509</v>
      </c>
      <c r="C126" s="7" t="s">
        <v>114</v>
      </c>
      <c r="D126" s="32" t="s">
        <v>296</v>
      </c>
      <c r="E126" s="5">
        <v>20</v>
      </c>
      <c r="F126" s="3">
        <v>0.13</v>
      </c>
      <c r="G126" s="3"/>
      <c r="H126" s="13">
        <v>0</v>
      </c>
      <c r="I126" s="29">
        <f t="shared" si="36"/>
        <v>0</v>
      </c>
      <c r="J126" s="30">
        <f t="shared" si="37"/>
        <v>0</v>
      </c>
      <c r="K126" s="93">
        <f t="shared" si="28"/>
        <v>6450</v>
      </c>
      <c r="L126" s="93">
        <f t="shared" si="29"/>
        <v>4730</v>
      </c>
      <c r="M126" s="93">
        <f t="shared" si="30"/>
        <v>4515</v>
      </c>
      <c r="N126" s="64">
        <v>4300</v>
      </c>
      <c r="O126" s="69">
        <v>2961.4</v>
      </c>
      <c r="P126" s="132">
        <f t="shared" si="31"/>
        <v>1338.6</v>
      </c>
      <c r="Q126" s="133"/>
      <c r="R126" s="218">
        <f t="shared" si="32"/>
        <v>7425</v>
      </c>
      <c r="S126" s="218">
        <f t="shared" si="33"/>
        <v>5445</v>
      </c>
      <c r="T126" s="218">
        <f t="shared" si="34"/>
        <v>5197.5</v>
      </c>
      <c r="U126" s="111">
        <v>4950</v>
      </c>
      <c r="V126" s="108">
        <f>O126*1.1</f>
        <v>3257.5400000000004</v>
      </c>
      <c r="W126" s="79">
        <f>U126-V126</f>
        <v>1692.4599999999996</v>
      </c>
      <c r="X126" s="86">
        <v>1195</v>
      </c>
    </row>
    <row r="127" spans="1:24" ht="12.75" x14ac:dyDescent="0.2">
      <c r="A127" s="710"/>
      <c r="B127" s="14" t="s">
        <v>510</v>
      </c>
      <c r="C127" s="7" t="s">
        <v>113</v>
      </c>
      <c r="D127" s="32" t="s">
        <v>296</v>
      </c>
      <c r="E127" s="5">
        <v>25</v>
      </c>
      <c r="F127" s="3">
        <v>0.18</v>
      </c>
      <c r="G127" s="3"/>
      <c r="H127" s="13">
        <v>0</v>
      </c>
      <c r="I127" s="29">
        <f t="shared" si="36"/>
        <v>0</v>
      </c>
      <c r="J127" s="30">
        <f t="shared" si="37"/>
        <v>0</v>
      </c>
      <c r="K127" s="93">
        <f t="shared" ref="K127:K179" si="38">N127*1.5</f>
        <v>7800</v>
      </c>
      <c r="L127" s="93">
        <f t="shared" ref="L127:L179" si="39">N127*1.1</f>
        <v>5720.0000000000009</v>
      </c>
      <c r="M127" s="93">
        <f t="shared" ref="M127:M179" si="40">N127*1.05</f>
        <v>5460</v>
      </c>
      <c r="N127" s="64">
        <v>5200</v>
      </c>
      <c r="O127" s="69">
        <v>3861.4</v>
      </c>
      <c r="P127" s="132">
        <f t="shared" ref="P127:P179" si="41">N127-O127</f>
        <v>1338.6</v>
      </c>
      <c r="Q127" s="133"/>
      <c r="R127" s="218">
        <f t="shared" ref="R127:R168" si="42">U127*1.5</f>
        <v>8970</v>
      </c>
      <c r="S127" s="218">
        <f t="shared" si="33"/>
        <v>6578.0000000000009</v>
      </c>
      <c r="T127" s="218">
        <f t="shared" si="34"/>
        <v>6279</v>
      </c>
      <c r="U127" s="111">
        <v>5980</v>
      </c>
      <c r="V127" s="108">
        <f>O127*1.1</f>
        <v>4247.5400000000009</v>
      </c>
      <c r="W127" s="79">
        <f>U127-V127</f>
        <v>1732.4599999999991</v>
      </c>
      <c r="X127" s="86">
        <v>1195</v>
      </c>
    </row>
    <row r="128" spans="1:24" ht="13.5" thickBot="1" x14ac:dyDescent="0.25">
      <c r="A128" s="718"/>
      <c r="B128" s="173" t="s">
        <v>511</v>
      </c>
      <c r="C128" s="174" t="s">
        <v>112</v>
      </c>
      <c r="D128" s="211" t="s">
        <v>296</v>
      </c>
      <c r="E128" s="136">
        <v>36.5</v>
      </c>
      <c r="F128" s="176">
        <v>0.25</v>
      </c>
      <c r="G128" s="176"/>
      <c r="H128" s="178">
        <v>0</v>
      </c>
      <c r="I128" s="179">
        <f t="shared" si="36"/>
        <v>0</v>
      </c>
      <c r="J128" s="180">
        <f t="shared" si="37"/>
        <v>0</v>
      </c>
      <c r="K128" s="139">
        <f t="shared" si="38"/>
        <v>9150</v>
      </c>
      <c r="L128" s="139">
        <f t="shared" si="39"/>
        <v>6710.0000000000009</v>
      </c>
      <c r="M128" s="139">
        <f t="shared" si="40"/>
        <v>6405</v>
      </c>
      <c r="N128" s="140">
        <v>6100</v>
      </c>
      <c r="O128" s="141">
        <v>4761.3999999999996</v>
      </c>
      <c r="P128" s="142">
        <f t="shared" si="41"/>
        <v>1338.6000000000004</v>
      </c>
      <c r="Q128" s="143"/>
      <c r="R128" s="219">
        <f t="shared" si="42"/>
        <v>10522.5</v>
      </c>
      <c r="S128" s="219">
        <f t="shared" ref="S128:S168" si="43">U128*1.1</f>
        <v>7716.5000000000009</v>
      </c>
      <c r="T128" s="219">
        <f t="shared" ref="T128:T168" si="44">U128*1.05</f>
        <v>7365.75</v>
      </c>
      <c r="U128" s="144">
        <v>7015</v>
      </c>
      <c r="V128" s="108">
        <f>O128*1.1</f>
        <v>5237.54</v>
      </c>
      <c r="W128" s="79">
        <f>U128-V128</f>
        <v>1777.46</v>
      </c>
      <c r="X128" s="86">
        <v>1195</v>
      </c>
    </row>
    <row r="129" spans="1:25" ht="13.5" thickTop="1" x14ac:dyDescent="0.2">
      <c r="A129" s="719" t="s">
        <v>346</v>
      </c>
      <c r="B129" s="212" t="s">
        <v>356</v>
      </c>
      <c r="C129" s="183" t="s">
        <v>360</v>
      </c>
      <c r="D129" s="213"/>
      <c r="E129" s="184">
        <v>12.5</v>
      </c>
      <c r="F129" s="163">
        <v>0.09</v>
      </c>
      <c r="G129" s="185">
        <v>10</v>
      </c>
      <c r="H129" s="164">
        <v>0</v>
      </c>
      <c r="I129" s="165">
        <f t="shared" si="36"/>
        <v>0</v>
      </c>
      <c r="J129" s="166">
        <f t="shared" si="37"/>
        <v>0</v>
      </c>
      <c r="K129" s="167">
        <f t="shared" si="38"/>
        <v>6525</v>
      </c>
      <c r="L129" s="167">
        <f t="shared" si="39"/>
        <v>4785</v>
      </c>
      <c r="M129" s="167">
        <f t="shared" si="40"/>
        <v>4567.5</v>
      </c>
      <c r="N129" s="168">
        <v>4350</v>
      </c>
      <c r="O129" s="169"/>
      <c r="P129" s="170">
        <f t="shared" si="41"/>
        <v>4350</v>
      </c>
      <c r="Q129" s="171"/>
      <c r="R129" s="221">
        <f t="shared" si="42"/>
        <v>7185</v>
      </c>
      <c r="S129" s="221">
        <f t="shared" si="43"/>
        <v>5269</v>
      </c>
      <c r="T129" s="221">
        <f t="shared" si="44"/>
        <v>5029.5</v>
      </c>
      <c r="U129" s="172">
        <v>4790</v>
      </c>
      <c r="V129" s="108"/>
      <c r="W129" s="79"/>
      <c r="X129" s="86"/>
    </row>
    <row r="130" spans="1:25" ht="12.75" x14ac:dyDescent="0.2">
      <c r="A130" s="713"/>
      <c r="B130" s="43" t="s">
        <v>357</v>
      </c>
      <c r="C130" s="35" t="s">
        <v>361</v>
      </c>
      <c r="D130" s="47"/>
      <c r="E130" s="36"/>
      <c r="F130" s="34"/>
      <c r="G130" s="34"/>
      <c r="H130" s="13">
        <v>0</v>
      </c>
      <c r="I130" s="29">
        <f t="shared" si="36"/>
        <v>0</v>
      </c>
      <c r="J130" s="30">
        <f t="shared" si="37"/>
        <v>0</v>
      </c>
      <c r="K130" s="93">
        <f t="shared" si="38"/>
        <v>0</v>
      </c>
      <c r="L130" s="93">
        <f t="shared" si="39"/>
        <v>0</v>
      </c>
      <c r="M130" s="93">
        <f t="shared" si="40"/>
        <v>0</v>
      </c>
      <c r="N130" s="64">
        <v>0</v>
      </c>
      <c r="O130" s="69"/>
      <c r="P130" s="132">
        <f t="shared" si="41"/>
        <v>0</v>
      </c>
      <c r="Q130" s="133"/>
      <c r="R130" s="218">
        <f t="shared" si="42"/>
        <v>0</v>
      </c>
      <c r="S130" s="218">
        <f t="shared" si="43"/>
        <v>0</v>
      </c>
      <c r="T130" s="218">
        <f t="shared" si="44"/>
        <v>0</v>
      </c>
      <c r="U130" s="111">
        <f t="shared" si="35"/>
        <v>0</v>
      </c>
      <c r="V130" s="108"/>
      <c r="W130" s="79"/>
      <c r="X130" s="86"/>
    </row>
    <row r="131" spans="1:25" s="26" customFormat="1" ht="12.75" x14ac:dyDescent="0.2">
      <c r="A131" s="713"/>
      <c r="B131" s="43" t="s">
        <v>358</v>
      </c>
      <c r="C131" s="35" t="s">
        <v>362</v>
      </c>
      <c r="D131" s="35"/>
      <c r="E131" s="36"/>
      <c r="F131" s="34"/>
      <c r="G131" s="34"/>
      <c r="H131" s="13">
        <v>0</v>
      </c>
      <c r="I131" s="29">
        <f t="shared" si="36"/>
        <v>0</v>
      </c>
      <c r="J131" s="30">
        <f t="shared" si="37"/>
        <v>0</v>
      </c>
      <c r="K131" s="93">
        <f t="shared" si="38"/>
        <v>0</v>
      </c>
      <c r="L131" s="93">
        <f t="shared" si="39"/>
        <v>0</v>
      </c>
      <c r="M131" s="93">
        <f t="shared" si="40"/>
        <v>0</v>
      </c>
      <c r="N131" s="64">
        <v>0</v>
      </c>
      <c r="O131" s="69"/>
      <c r="P131" s="132">
        <f t="shared" si="41"/>
        <v>0</v>
      </c>
      <c r="Q131" s="133"/>
      <c r="R131" s="218">
        <f t="shared" si="42"/>
        <v>0</v>
      </c>
      <c r="S131" s="218">
        <f t="shared" si="43"/>
        <v>0</v>
      </c>
      <c r="T131" s="218">
        <f t="shared" si="44"/>
        <v>0</v>
      </c>
      <c r="U131" s="111">
        <f t="shared" si="35"/>
        <v>0</v>
      </c>
      <c r="V131" s="108"/>
      <c r="W131" s="79"/>
      <c r="X131" s="86"/>
      <c r="Y131" s="115"/>
    </row>
    <row r="132" spans="1:25" s="26" customFormat="1" ht="13.5" thickBot="1" x14ac:dyDescent="0.25">
      <c r="A132" s="720"/>
      <c r="B132" s="214" t="s">
        <v>359</v>
      </c>
      <c r="C132" s="215" t="s">
        <v>363</v>
      </c>
      <c r="D132" s="215"/>
      <c r="E132" s="192"/>
      <c r="F132" s="177"/>
      <c r="G132" s="177"/>
      <c r="H132" s="178">
        <v>0</v>
      </c>
      <c r="I132" s="179">
        <f t="shared" si="36"/>
        <v>0</v>
      </c>
      <c r="J132" s="180">
        <f t="shared" si="37"/>
        <v>0</v>
      </c>
      <c r="K132" s="139">
        <f t="shared" si="38"/>
        <v>0</v>
      </c>
      <c r="L132" s="139">
        <f t="shared" si="39"/>
        <v>0</v>
      </c>
      <c r="M132" s="139">
        <f t="shared" si="40"/>
        <v>0</v>
      </c>
      <c r="N132" s="140">
        <v>0</v>
      </c>
      <c r="O132" s="141"/>
      <c r="P132" s="142">
        <f t="shared" si="41"/>
        <v>0</v>
      </c>
      <c r="Q132" s="143"/>
      <c r="R132" s="219">
        <f t="shared" si="42"/>
        <v>0</v>
      </c>
      <c r="S132" s="219">
        <f t="shared" si="43"/>
        <v>0</v>
      </c>
      <c r="T132" s="219">
        <f t="shared" si="44"/>
        <v>0</v>
      </c>
      <c r="U132" s="144">
        <f t="shared" si="35"/>
        <v>0</v>
      </c>
      <c r="V132" s="108"/>
      <c r="W132" s="79"/>
      <c r="X132" s="86"/>
      <c r="Y132" s="115"/>
    </row>
    <row r="133" spans="1:25" ht="13.5" thickTop="1" x14ac:dyDescent="0.2">
      <c r="A133" s="717" t="s">
        <v>159</v>
      </c>
      <c r="B133" s="160" t="s">
        <v>426</v>
      </c>
      <c r="C133" s="181" t="s">
        <v>68</v>
      </c>
      <c r="D133" s="210"/>
      <c r="E133" s="162">
        <v>15.2</v>
      </c>
      <c r="F133" s="163">
        <v>0.09</v>
      </c>
      <c r="G133" s="163">
        <v>10</v>
      </c>
      <c r="H133" s="164">
        <v>0</v>
      </c>
      <c r="I133" s="165">
        <f t="shared" si="36"/>
        <v>0</v>
      </c>
      <c r="J133" s="166">
        <f t="shared" si="37"/>
        <v>0</v>
      </c>
      <c r="K133" s="167">
        <f t="shared" si="38"/>
        <v>2625</v>
      </c>
      <c r="L133" s="167">
        <f t="shared" si="39"/>
        <v>1925.0000000000002</v>
      </c>
      <c r="M133" s="167">
        <f t="shared" si="40"/>
        <v>1837.5</v>
      </c>
      <c r="N133" s="168">
        <v>1750</v>
      </c>
      <c r="O133" s="169"/>
      <c r="P133" s="170">
        <f t="shared" si="41"/>
        <v>1750</v>
      </c>
      <c r="Q133" s="171"/>
      <c r="R133" s="221">
        <f t="shared" si="42"/>
        <v>3015</v>
      </c>
      <c r="S133" s="221">
        <f t="shared" si="43"/>
        <v>2211</v>
      </c>
      <c r="T133" s="221">
        <f t="shared" si="44"/>
        <v>2110.5</v>
      </c>
      <c r="U133" s="172">
        <v>2010</v>
      </c>
      <c r="V133" s="108"/>
      <c r="W133" s="79"/>
      <c r="X133" s="86"/>
    </row>
    <row r="134" spans="1:25" ht="14.25" customHeight="1" thickBot="1" x14ac:dyDescent="0.25">
      <c r="A134" s="718"/>
      <c r="B134" s="173" t="s">
        <v>261</v>
      </c>
      <c r="C134" s="174" t="s">
        <v>115</v>
      </c>
      <c r="D134" s="211" t="s">
        <v>292</v>
      </c>
      <c r="E134" s="136">
        <v>18.2</v>
      </c>
      <c r="F134" s="176">
        <v>0.17</v>
      </c>
      <c r="G134" s="176"/>
      <c r="H134" s="178">
        <v>0</v>
      </c>
      <c r="I134" s="179">
        <f t="shared" si="36"/>
        <v>0</v>
      </c>
      <c r="J134" s="180">
        <f t="shared" si="37"/>
        <v>0</v>
      </c>
      <c r="K134" s="139">
        <f t="shared" si="38"/>
        <v>5775</v>
      </c>
      <c r="L134" s="139">
        <f t="shared" si="39"/>
        <v>4235</v>
      </c>
      <c r="M134" s="139">
        <f t="shared" si="40"/>
        <v>4042.5</v>
      </c>
      <c r="N134" s="140">
        <v>3850</v>
      </c>
      <c r="O134" s="141">
        <v>2356</v>
      </c>
      <c r="P134" s="142">
        <f t="shared" si="41"/>
        <v>1494</v>
      </c>
      <c r="Q134" s="143"/>
      <c r="R134" s="219">
        <f t="shared" si="42"/>
        <v>6352.5</v>
      </c>
      <c r="S134" s="219">
        <f t="shared" si="43"/>
        <v>4658.5</v>
      </c>
      <c r="T134" s="219">
        <f t="shared" si="44"/>
        <v>4446.75</v>
      </c>
      <c r="U134" s="144">
        <f t="shared" si="35"/>
        <v>4235</v>
      </c>
      <c r="V134" s="108">
        <f>O134*1.1</f>
        <v>2591.6000000000004</v>
      </c>
      <c r="W134" s="79">
        <f t="shared" ref="W134:W185" si="45">U134-V134</f>
        <v>1643.3999999999996</v>
      </c>
      <c r="X134" s="86">
        <v>1040</v>
      </c>
    </row>
    <row r="135" spans="1:25" ht="13.5" thickTop="1" x14ac:dyDescent="0.2">
      <c r="A135" s="717" t="s">
        <v>143</v>
      </c>
      <c r="B135" s="160" t="s">
        <v>44</v>
      </c>
      <c r="C135" s="181" t="s">
        <v>71</v>
      </c>
      <c r="D135" s="210"/>
      <c r="E135" s="162">
        <v>25.5</v>
      </c>
      <c r="F135" s="163">
        <v>0.16</v>
      </c>
      <c r="G135" s="163">
        <v>8</v>
      </c>
      <c r="H135" s="164">
        <v>0</v>
      </c>
      <c r="I135" s="165">
        <f t="shared" si="36"/>
        <v>0</v>
      </c>
      <c r="J135" s="166">
        <f t="shared" si="37"/>
        <v>0</v>
      </c>
      <c r="K135" s="167">
        <f t="shared" si="38"/>
        <v>6225</v>
      </c>
      <c r="L135" s="167">
        <f t="shared" si="39"/>
        <v>4565</v>
      </c>
      <c r="M135" s="167">
        <f t="shared" si="40"/>
        <v>4357.5</v>
      </c>
      <c r="N135" s="168">
        <v>4150</v>
      </c>
      <c r="O135" s="169"/>
      <c r="P135" s="170">
        <f t="shared" si="41"/>
        <v>4150</v>
      </c>
      <c r="Q135" s="171"/>
      <c r="R135" s="221">
        <f t="shared" si="42"/>
        <v>7200</v>
      </c>
      <c r="S135" s="221">
        <f t="shared" si="43"/>
        <v>5280</v>
      </c>
      <c r="T135" s="221">
        <f t="shared" si="44"/>
        <v>5040</v>
      </c>
      <c r="U135" s="172">
        <v>4800</v>
      </c>
      <c r="V135" s="108"/>
      <c r="W135" s="79"/>
      <c r="X135" s="86"/>
    </row>
    <row r="136" spans="1:25" ht="12.75" x14ac:dyDescent="0.2">
      <c r="A136" s="710"/>
      <c r="B136" s="14" t="s">
        <v>401</v>
      </c>
      <c r="C136" s="7" t="s">
        <v>82</v>
      </c>
      <c r="D136" s="7"/>
      <c r="E136" s="5"/>
      <c r="F136" s="3"/>
      <c r="G136" s="3"/>
      <c r="H136" s="13"/>
      <c r="I136" s="29"/>
      <c r="J136" s="63"/>
      <c r="K136" s="93">
        <f t="shared" si="38"/>
        <v>7650</v>
      </c>
      <c r="L136" s="93">
        <f t="shared" si="39"/>
        <v>5610</v>
      </c>
      <c r="M136" s="93">
        <f t="shared" si="40"/>
        <v>5355</v>
      </c>
      <c r="N136" s="64">
        <v>5100</v>
      </c>
      <c r="O136" s="69"/>
      <c r="P136" s="132">
        <f>N136-O136</f>
        <v>5100</v>
      </c>
      <c r="Q136" s="133"/>
      <c r="R136" s="218">
        <f t="shared" si="42"/>
        <v>8415</v>
      </c>
      <c r="S136" s="218">
        <f t="shared" si="43"/>
        <v>6171.0000000000009</v>
      </c>
      <c r="T136" s="218">
        <f t="shared" si="44"/>
        <v>5890.5</v>
      </c>
      <c r="U136" s="111">
        <f>N136*1.1</f>
        <v>5610</v>
      </c>
      <c r="V136" s="108"/>
      <c r="W136" s="79"/>
      <c r="X136" s="86"/>
    </row>
    <row r="137" spans="1:25" ht="13.5" thickBot="1" x14ac:dyDescent="0.25">
      <c r="A137" s="718"/>
      <c r="B137" s="173" t="s">
        <v>512</v>
      </c>
      <c r="C137" s="174" t="s">
        <v>112</v>
      </c>
      <c r="D137" s="211" t="s">
        <v>296</v>
      </c>
      <c r="E137" s="136">
        <v>47.2</v>
      </c>
      <c r="F137" s="176">
        <v>0.26</v>
      </c>
      <c r="G137" s="176">
        <v>4</v>
      </c>
      <c r="H137" s="178">
        <v>0</v>
      </c>
      <c r="I137" s="179">
        <f t="shared" ref="I137:I168" si="46">H137*E137</f>
        <v>0</v>
      </c>
      <c r="J137" s="180">
        <f t="shared" ref="J137:J168" si="47">F137*H137</f>
        <v>0</v>
      </c>
      <c r="K137" s="139">
        <f t="shared" si="38"/>
        <v>22200</v>
      </c>
      <c r="L137" s="139">
        <f t="shared" si="39"/>
        <v>16280.000000000002</v>
      </c>
      <c r="M137" s="139">
        <f t="shared" si="40"/>
        <v>15540</v>
      </c>
      <c r="N137" s="140">
        <v>14800</v>
      </c>
      <c r="O137" s="141">
        <v>13461.4</v>
      </c>
      <c r="P137" s="142">
        <f t="shared" si="41"/>
        <v>1338.6000000000004</v>
      </c>
      <c r="Q137" s="143"/>
      <c r="R137" s="236">
        <f t="shared" si="42"/>
        <v>25500</v>
      </c>
      <c r="S137" s="236">
        <f t="shared" si="43"/>
        <v>18700</v>
      </c>
      <c r="T137" s="236">
        <f t="shared" si="44"/>
        <v>17850</v>
      </c>
      <c r="U137" s="237">
        <v>17000</v>
      </c>
      <c r="V137" s="108">
        <f>O137*1.1</f>
        <v>14807.54</v>
      </c>
      <c r="W137" s="79">
        <f t="shared" si="45"/>
        <v>2192.4599999999991</v>
      </c>
      <c r="X137" s="86">
        <v>1195</v>
      </c>
    </row>
    <row r="138" spans="1:25" ht="14.25" thickTop="1" thickBot="1" x14ac:dyDescent="0.25">
      <c r="A138" s="721" t="s">
        <v>524</v>
      </c>
      <c r="B138" s="228" t="s">
        <v>525</v>
      </c>
      <c r="C138" s="229" t="s">
        <v>74</v>
      </c>
      <c r="D138" s="230"/>
      <c r="E138" s="231"/>
      <c r="F138" s="231"/>
      <c r="G138" s="231"/>
      <c r="H138" s="232"/>
      <c r="I138" s="231"/>
      <c r="J138" s="231"/>
      <c r="K138" s="233">
        <f>N138*1.5</f>
        <v>0</v>
      </c>
      <c r="L138" s="233">
        <f>N138*1.1</f>
        <v>0</v>
      </c>
      <c r="M138" s="233">
        <f>N138*1.05</f>
        <v>0</v>
      </c>
      <c r="N138" s="234"/>
      <c r="O138" s="83"/>
      <c r="P138" s="235">
        <f>N138-O138</f>
        <v>0</v>
      </c>
      <c r="Q138" s="143"/>
      <c r="R138" s="236">
        <f t="shared" si="42"/>
        <v>2850</v>
      </c>
      <c r="S138" s="236">
        <f t="shared" si="43"/>
        <v>2090</v>
      </c>
      <c r="T138" s="236">
        <f t="shared" si="44"/>
        <v>1995</v>
      </c>
      <c r="U138" s="238">
        <v>1900</v>
      </c>
      <c r="V138" s="119">
        <f>O138*1.1</f>
        <v>0</v>
      </c>
      <c r="W138" s="89">
        <f>U138-V138</f>
        <v>1900</v>
      </c>
      <c r="X138" s="90"/>
    </row>
    <row r="139" spans="1:25" ht="14.25" thickTop="1" thickBot="1" x14ac:dyDescent="0.25">
      <c r="A139" s="722"/>
      <c r="B139" s="228" t="s">
        <v>531</v>
      </c>
      <c r="C139" s="229" t="s">
        <v>305</v>
      </c>
      <c r="D139" s="230"/>
      <c r="E139" s="231"/>
      <c r="F139" s="231"/>
      <c r="G139" s="231"/>
      <c r="H139" s="232"/>
      <c r="I139" s="231"/>
      <c r="J139" s="231"/>
      <c r="K139" s="233">
        <f>N139*1.5</f>
        <v>0</v>
      </c>
      <c r="L139" s="233">
        <f>N139*1.1</f>
        <v>0</v>
      </c>
      <c r="M139" s="233">
        <f>N139*1.05</f>
        <v>0</v>
      </c>
      <c r="N139" s="234"/>
      <c r="O139" s="83"/>
      <c r="P139" s="235">
        <f>N139-O139</f>
        <v>0</v>
      </c>
      <c r="Q139" s="143"/>
      <c r="R139" s="236">
        <f t="shared" si="42"/>
        <v>5040</v>
      </c>
      <c r="S139" s="236">
        <f t="shared" si="43"/>
        <v>3696.0000000000005</v>
      </c>
      <c r="T139" s="236">
        <f t="shared" si="44"/>
        <v>3528</v>
      </c>
      <c r="U139" s="238">
        <f>1300+2060</f>
        <v>3360</v>
      </c>
      <c r="V139" s="119">
        <f>O139*1.1</f>
        <v>0</v>
      </c>
      <c r="W139" s="89">
        <f>U139-V139</f>
        <v>3360</v>
      </c>
      <c r="X139" s="90"/>
    </row>
    <row r="140" spans="1:25" ht="14.25" thickTop="1" thickBot="1" x14ac:dyDescent="0.25">
      <c r="A140" s="722"/>
      <c r="B140" s="228" t="s">
        <v>526</v>
      </c>
      <c r="C140" s="229" t="s">
        <v>529</v>
      </c>
      <c r="D140" s="230"/>
      <c r="E140" s="231"/>
      <c r="F140" s="231"/>
      <c r="G140" s="231"/>
      <c r="H140" s="232"/>
      <c r="I140" s="231"/>
      <c r="J140" s="231"/>
      <c r="K140" s="233">
        <f>N140*1.5</f>
        <v>0</v>
      </c>
      <c r="L140" s="233">
        <f>N140*1.1</f>
        <v>0</v>
      </c>
      <c r="M140" s="233">
        <f>N140*1.05</f>
        <v>0</v>
      </c>
      <c r="N140" s="234"/>
      <c r="O140" s="83"/>
      <c r="P140" s="235">
        <f>N140-O140</f>
        <v>0</v>
      </c>
      <c r="Q140" s="143"/>
      <c r="R140" s="236">
        <f t="shared" si="42"/>
        <v>3975</v>
      </c>
      <c r="S140" s="236">
        <f t="shared" si="43"/>
        <v>2915.0000000000005</v>
      </c>
      <c r="T140" s="236">
        <f t="shared" si="44"/>
        <v>2782.5</v>
      </c>
      <c r="U140" s="238">
        <v>2650</v>
      </c>
      <c r="V140" s="119">
        <f>O140*1.1</f>
        <v>0</v>
      </c>
      <c r="W140" s="89">
        <f>U140-V140</f>
        <v>2650</v>
      </c>
      <c r="X140" s="90"/>
    </row>
    <row r="141" spans="1:25" ht="14.25" thickTop="1" thickBot="1" x14ac:dyDescent="0.25">
      <c r="A141" s="723"/>
      <c r="B141" s="228" t="s">
        <v>530</v>
      </c>
      <c r="C141" s="229" t="s">
        <v>91</v>
      </c>
      <c r="D141" s="230"/>
      <c r="E141" s="231"/>
      <c r="F141" s="231"/>
      <c r="G141" s="231"/>
      <c r="H141" s="232"/>
      <c r="I141" s="231"/>
      <c r="J141" s="231"/>
      <c r="K141" s="233">
        <f>N141*1.5</f>
        <v>0</v>
      </c>
      <c r="L141" s="233">
        <f>N141*1.1</f>
        <v>0</v>
      </c>
      <c r="M141" s="233">
        <f>N141*1.05</f>
        <v>0</v>
      </c>
      <c r="N141" s="234"/>
      <c r="O141" s="83"/>
      <c r="P141" s="235">
        <f>N141-O141</f>
        <v>0</v>
      </c>
      <c r="Q141" s="143"/>
      <c r="R141" s="236">
        <f t="shared" si="42"/>
        <v>9427.5</v>
      </c>
      <c r="S141" s="236">
        <f t="shared" si="43"/>
        <v>6913.5000000000009</v>
      </c>
      <c r="T141" s="236">
        <f t="shared" si="44"/>
        <v>6599.25</v>
      </c>
      <c r="U141" s="238">
        <f>2785+3500</f>
        <v>6285</v>
      </c>
      <c r="V141" s="119">
        <f>O141*1.1</f>
        <v>0</v>
      </c>
      <c r="W141" s="89">
        <f>U141-V141</f>
        <v>6285</v>
      </c>
      <c r="X141" s="90"/>
    </row>
    <row r="142" spans="1:25" ht="14.25" thickTop="1" thickBot="1" x14ac:dyDescent="0.25">
      <c r="A142" s="717" t="s">
        <v>144</v>
      </c>
      <c r="B142" s="160" t="s">
        <v>310</v>
      </c>
      <c r="C142" s="181" t="s">
        <v>1</v>
      </c>
      <c r="D142" s="210"/>
      <c r="E142" s="162">
        <v>5.8</v>
      </c>
      <c r="F142" s="163">
        <v>7.0000000000000007E-2</v>
      </c>
      <c r="G142" s="163">
        <v>10</v>
      </c>
      <c r="H142" s="164">
        <v>0</v>
      </c>
      <c r="I142" s="165">
        <f t="shared" si="46"/>
        <v>0</v>
      </c>
      <c r="J142" s="166">
        <f t="shared" si="47"/>
        <v>0</v>
      </c>
      <c r="K142" s="167">
        <f t="shared" si="38"/>
        <v>2700</v>
      </c>
      <c r="L142" s="167">
        <f t="shared" si="39"/>
        <v>1980.0000000000002</v>
      </c>
      <c r="M142" s="167">
        <f t="shared" si="40"/>
        <v>1890</v>
      </c>
      <c r="N142" s="168">
        <v>1800</v>
      </c>
      <c r="O142" s="169"/>
      <c r="P142" s="170">
        <f t="shared" si="41"/>
        <v>1800</v>
      </c>
      <c r="Q142" s="143"/>
      <c r="R142" s="222">
        <f t="shared" si="42"/>
        <v>3000</v>
      </c>
      <c r="S142" s="222">
        <f t="shared" si="43"/>
        <v>2200</v>
      </c>
      <c r="T142" s="222">
        <f t="shared" si="44"/>
        <v>2100</v>
      </c>
      <c r="U142" s="129">
        <v>2000</v>
      </c>
      <c r="V142" s="108"/>
      <c r="W142" s="79"/>
      <c r="X142" s="86"/>
    </row>
    <row r="143" spans="1:25" ht="13.5" thickTop="1" x14ac:dyDescent="0.2">
      <c r="A143" s="710"/>
      <c r="B143" s="14" t="s">
        <v>309</v>
      </c>
      <c r="C143" s="7" t="s">
        <v>1</v>
      </c>
      <c r="D143" s="45"/>
      <c r="E143" s="5">
        <v>5.8</v>
      </c>
      <c r="F143" s="3">
        <v>7.0000000000000007E-2</v>
      </c>
      <c r="G143" s="3">
        <v>10</v>
      </c>
      <c r="H143" s="13">
        <v>0</v>
      </c>
      <c r="I143" s="29">
        <f t="shared" si="46"/>
        <v>0</v>
      </c>
      <c r="J143" s="30">
        <f t="shared" si="47"/>
        <v>0</v>
      </c>
      <c r="K143" s="93">
        <f t="shared" si="38"/>
        <v>3105</v>
      </c>
      <c r="L143" s="93">
        <f t="shared" si="39"/>
        <v>2277</v>
      </c>
      <c r="M143" s="93">
        <f t="shared" si="40"/>
        <v>2173.5</v>
      </c>
      <c r="N143" s="64">
        <v>2070</v>
      </c>
      <c r="O143" s="69"/>
      <c r="P143" s="132">
        <f t="shared" si="41"/>
        <v>2070</v>
      </c>
      <c r="Q143" s="133"/>
      <c r="R143" s="218">
        <f t="shared" si="42"/>
        <v>3570</v>
      </c>
      <c r="S143" s="218">
        <f t="shared" si="43"/>
        <v>2618</v>
      </c>
      <c r="T143" s="218">
        <f t="shared" si="44"/>
        <v>2499</v>
      </c>
      <c r="U143" s="111">
        <v>2380</v>
      </c>
      <c r="V143" s="108"/>
      <c r="W143" s="79"/>
      <c r="X143" s="86"/>
    </row>
    <row r="144" spans="1:25" ht="12.75" x14ac:dyDescent="0.2">
      <c r="A144" s="710"/>
      <c r="B144" s="14" t="s">
        <v>193</v>
      </c>
      <c r="C144" s="7" t="s">
        <v>2</v>
      </c>
      <c r="D144" s="45"/>
      <c r="E144" s="5">
        <v>6.4</v>
      </c>
      <c r="F144" s="3">
        <v>7.0000000000000007E-2</v>
      </c>
      <c r="G144" s="3">
        <v>10</v>
      </c>
      <c r="H144" s="13">
        <v>0</v>
      </c>
      <c r="I144" s="29">
        <f t="shared" si="46"/>
        <v>0</v>
      </c>
      <c r="J144" s="30">
        <f t="shared" si="47"/>
        <v>0</v>
      </c>
      <c r="K144" s="93">
        <f t="shared" si="38"/>
        <v>3225</v>
      </c>
      <c r="L144" s="93">
        <f t="shared" si="39"/>
        <v>2365</v>
      </c>
      <c r="M144" s="93">
        <f t="shared" si="40"/>
        <v>2257.5</v>
      </c>
      <c r="N144" s="64">
        <v>2150</v>
      </c>
      <c r="O144" s="69"/>
      <c r="P144" s="132">
        <f t="shared" si="41"/>
        <v>2150</v>
      </c>
      <c r="Q144" s="133"/>
      <c r="R144" s="218">
        <f t="shared" si="42"/>
        <v>3547.5</v>
      </c>
      <c r="S144" s="218">
        <f t="shared" si="43"/>
        <v>2601.5</v>
      </c>
      <c r="T144" s="218">
        <f t="shared" si="44"/>
        <v>2483.25</v>
      </c>
      <c r="U144" s="111">
        <f>N144*1.1</f>
        <v>2365</v>
      </c>
      <c r="V144" s="108"/>
      <c r="W144" s="79"/>
      <c r="X144" s="86"/>
    </row>
    <row r="145" spans="1:24" ht="12.75" x14ac:dyDescent="0.2">
      <c r="A145" s="710"/>
      <c r="B145" s="14" t="s">
        <v>195</v>
      </c>
      <c r="C145" s="7" t="s">
        <v>2</v>
      </c>
      <c r="D145" s="45"/>
      <c r="E145" s="5">
        <v>6.4</v>
      </c>
      <c r="F145" s="3">
        <v>7.0000000000000007E-2</v>
      </c>
      <c r="G145" s="3">
        <v>10</v>
      </c>
      <c r="H145" s="13">
        <v>0</v>
      </c>
      <c r="I145" s="29">
        <f t="shared" si="46"/>
        <v>0</v>
      </c>
      <c r="J145" s="30">
        <f t="shared" si="47"/>
        <v>0</v>
      </c>
      <c r="K145" s="93">
        <f t="shared" si="38"/>
        <v>3712.5</v>
      </c>
      <c r="L145" s="93">
        <f t="shared" si="39"/>
        <v>2722.5</v>
      </c>
      <c r="M145" s="93">
        <f t="shared" si="40"/>
        <v>2598.75</v>
      </c>
      <c r="N145" s="64">
        <v>2475</v>
      </c>
      <c r="O145" s="69"/>
      <c r="P145" s="132">
        <f t="shared" si="41"/>
        <v>2475</v>
      </c>
      <c r="Q145" s="133"/>
      <c r="R145" s="218">
        <f t="shared" si="42"/>
        <v>4275</v>
      </c>
      <c r="S145" s="218">
        <f t="shared" si="43"/>
        <v>3135.0000000000005</v>
      </c>
      <c r="T145" s="218">
        <f t="shared" si="44"/>
        <v>2992.5</v>
      </c>
      <c r="U145" s="111">
        <v>2850</v>
      </c>
      <c r="V145" s="108"/>
      <c r="W145" s="79"/>
      <c r="X145" s="86"/>
    </row>
    <row r="146" spans="1:24" ht="12.75" x14ac:dyDescent="0.2">
      <c r="A146" s="710"/>
      <c r="B146" s="14" t="s">
        <v>194</v>
      </c>
      <c r="C146" s="7" t="s">
        <v>3</v>
      </c>
      <c r="D146" s="45"/>
      <c r="E146" s="5">
        <v>11.5</v>
      </c>
      <c r="F146" s="3">
        <v>0.09</v>
      </c>
      <c r="G146" s="3">
        <v>10</v>
      </c>
      <c r="H146" s="13">
        <v>0</v>
      </c>
      <c r="I146" s="29">
        <f t="shared" si="46"/>
        <v>0</v>
      </c>
      <c r="J146" s="30">
        <f t="shared" si="47"/>
        <v>0</v>
      </c>
      <c r="K146" s="93">
        <f t="shared" si="38"/>
        <v>3975</v>
      </c>
      <c r="L146" s="93">
        <f t="shared" si="39"/>
        <v>2915.0000000000005</v>
      </c>
      <c r="M146" s="93">
        <f t="shared" si="40"/>
        <v>2782.5</v>
      </c>
      <c r="N146" s="64">
        <v>2650</v>
      </c>
      <c r="O146" s="69"/>
      <c r="P146" s="132">
        <f t="shared" si="41"/>
        <v>2650</v>
      </c>
      <c r="Q146" s="133"/>
      <c r="R146" s="218">
        <f t="shared" si="42"/>
        <v>4372.5000000000009</v>
      </c>
      <c r="S146" s="218">
        <f t="shared" si="43"/>
        <v>3206.5000000000009</v>
      </c>
      <c r="T146" s="218">
        <f t="shared" si="44"/>
        <v>3060.7500000000005</v>
      </c>
      <c r="U146" s="111">
        <f>N146*1.1</f>
        <v>2915.0000000000005</v>
      </c>
      <c r="V146" s="108"/>
      <c r="W146" s="79"/>
      <c r="X146" s="86"/>
    </row>
    <row r="147" spans="1:24" ht="12.75" x14ac:dyDescent="0.2">
      <c r="A147" s="710"/>
      <c r="B147" s="14" t="s">
        <v>196</v>
      </c>
      <c r="C147" s="7" t="s">
        <v>3</v>
      </c>
      <c r="D147" s="45"/>
      <c r="E147" s="5">
        <v>11.5</v>
      </c>
      <c r="F147" s="3">
        <v>0.09</v>
      </c>
      <c r="G147" s="3">
        <v>10</v>
      </c>
      <c r="H147" s="13">
        <v>0</v>
      </c>
      <c r="I147" s="29">
        <f t="shared" si="46"/>
        <v>0</v>
      </c>
      <c r="J147" s="30">
        <f t="shared" si="47"/>
        <v>0</v>
      </c>
      <c r="K147" s="93">
        <f t="shared" si="38"/>
        <v>4575</v>
      </c>
      <c r="L147" s="93">
        <f t="shared" si="39"/>
        <v>3355.0000000000005</v>
      </c>
      <c r="M147" s="93">
        <f t="shared" si="40"/>
        <v>3202.5</v>
      </c>
      <c r="N147" s="64">
        <v>3050</v>
      </c>
      <c r="O147" s="69"/>
      <c r="P147" s="132">
        <f t="shared" si="41"/>
        <v>3050</v>
      </c>
      <c r="Q147" s="133"/>
      <c r="R147" s="218">
        <f t="shared" si="42"/>
        <v>5265</v>
      </c>
      <c r="S147" s="218">
        <f t="shared" si="43"/>
        <v>3861.0000000000005</v>
      </c>
      <c r="T147" s="218">
        <f t="shared" si="44"/>
        <v>3685.5</v>
      </c>
      <c r="U147" s="111">
        <v>3510</v>
      </c>
      <c r="V147" s="108"/>
      <c r="W147" s="79"/>
      <c r="X147" s="86"/>
    </row>
    <row r="148" spans="1:24" ht="12.75" x14ac:dyDescent="0.2">
      <c r="A148" s="710"/>
      <c r="B148" s="14" t="s">
        <v>191</v>
      </c>
      <c r="C148" s="7" t="s">
        <v>4</v>
      </c>
      <c r="D148" s="45"/>
      <c r="E148" s="5">
        <v>11.6</v>
      </c>
      <c r="F148" s="3">
        <v>0.14000000000000001</v>
      </c>
      <c r="G148" s="3">
        <v>10</v>
      </c>
      <c r="H148" s="13">
        <v>0</v>
      </c>
      <c r="I148" s="29">
        <f t="shared" si="46"/>
        <v>0</v>
      </c>
      <c r="J148" s="30">
        <f t="shared" si="47"/>
        <v>0</v>
      </c>
      <c r="K148" s="93">
        <f t="shared" si="38"/>
        <v>5850</v>
      </c>
      <c r="L148" s="93">
        <f t="shared" si="39"/>
        <v>4290</v>
      </c>
      <c r="M148" s="93">
        <f t="shared" si="40"/>
        <v>4095</v>
      </c>
      <c r="N148" s="64">
        <v>3900</v>
      </c>
      <c r="O148" s="69"/>
      <c r="P148" s="132">
        <f t="shared" si="41"/>
        <v>3900</v>
      </c>
      <c r="Q148" s="133"/>
      <c r="R148" s="218">
        <f t="shared" si="42"/>
        <v>6435</v>
      </c>
      <c r="S148" s="218">
        <f t="shared" si="43"/>
        <v>4719</v>
      </c>
      <c r="T148" s="218">
        <f t="shared" si="44"/>
        <v>4504.5</v>
      </c>
      <c r="U148" s="111">
        <f>N148*1.1</f>
        <v>4290</v>
      </c>
      <c r="V148" s="108"/>
      <c r="W148" s="79"/>
      <c r="X148" s="86"/>
    </row>
    <row r="149" spans="1:24" ht="12.75" x14ac:dyDescent="0.2">
      <c r="A149" s="710"/>
      <c r="B149" s="14" t="s">
        <v>197</v>
      </c>
      <c r="C149" s="7" t="s">
        <v>4</v>
      </c>
      <c r="D149" s="45"/>
      <c r="E149" s="5">
        <v>11.6</v>
      </c>
      <c r="F149" s="3">
        <v>0.14000000000000001</v>
      </c>
      <c r="G149" s="3">
        <v>10</v>
      </c>
      <c r="H149" s="13">
        <v>0</v>
      </c>
      <c r="I149" s="29">
        <f t="shared" si="46"/>
        <v>0</v>
      </c>
      <c r="J149" s="30">
        <f t="shared" si="47"/>
        <v>0</v>
      </c>
      <c r="K149" s="93">
        <f t="shared" si="38"/>
        <v>6727.5</v>
      </c>
      <c r="L149" s="93">
        <f t="shared" si="39"/>
        <v>4933.5</v>
      </c>
      <c r="M149" s="93">
        <f t="shared" si="40"/>
        <v>4709.25</v>
      </c>
      <c r="N149" s="64">
        <v>4485</v>
      </c>
      <c r="O149" s="69"/>
      <c r="P149" s="132">
        <f t="shared" si="41"/>
        <v>4485</v>
      </c>
      <c r="Q149" s="133"/>
      <c r="R149" s="218">
        <f t="shared" si="42"/>
        <v>7740</v>
      </c>
      <c r="S149" s="218">
        <f t="shared" si="43"/>
        <v>5676.0000000000009</v>
      </c>
      <c r="T149" s="218">
        <f t="shared" si="44"/>
        <v>5418</v>
      </c>
      <c r="U149" s="111">
        <v>5160</v>
      </c>
      <c r="V149" s="108"/>
      <c r="W149" s="79"/>
      <c r="X149" s="86"/>
    </row>
    <row r="150" spans="1:24" ht="12.75" x14ac:dyDescent="0.2">
      <c r="A150" s="710"/>
      <c r="B150" s="14" t="s">
        <v>192</v>
      </c>
      <c r="C150" s="7" t="s">
        <v>5</v>
      </c>
      <c r="D150" s="45"/>
      <c r="E150" s="5">
        <v>14.3</v>
      </c>
      <c r="F150" s="3">
        <v>0.17</v>
      </c>
      <c r="G150" s="3">
        <v>10</v>
      </c>
      <c r="H150" s="13">
        <v>0</v>
      </c>
      <c r="I150" s="29">
        <f t="shared" si="46"/>
        <v>0</v>
      </c>
      <c r="J150" s="30">
        <f t="shared" si="47"/>
        <v>0</v>
      </c>
      <c r="K150" s="93">
        <f t="shared" si="38"/>
        <v>6450</v>
      </c>
      <c r="L150" s="93">
        <f t="shared" si="39"/>
        <v>4730</v>
      </c>
      <c r="M150" s="93">
        <f t="shared" si="40"/>
        <v>4515</v>
      </c>
      <c r="N150" s="64">
        <v>4300</v>
      </c>
      <c r="O150" s="69"/>
      <c r="P150" s="132">
        <f t="shared" si="41"/>
        <v>4300</v>
      </c>
      <c r="Q150" s="133"/>
      <c r="R150" s="218">
        <f t="shared" si="42"/>
        <v>7095</v>
      </c>
      <c r="S150" s="218">
        <f t="shared" si="43"/>
        <v>5203</v>
      </c>
      <c r="T150" s="218">
        <f t="shared" si="44"/>
        <v>4966.5</v>
      </c>
      <c r="U150" s="111">
        <f>N150*1.1</f>
        <v>4730</v>
      </c>
      <c r="V150" s="108"/>
      <c r="W150" s="79"/>
      <c r="X150" s="86"/>
    </row>
    <row r="151" spans="1:24" ht="12.75" x14ac:dyDescent="0.2">
      <c r="A151" s="710"/>
      <c r="B151" s="14" t="s">
        <v>198</v>
      </c>
      <c r="C151" s="7" t="s">
        <v>5</v>
      </c>
      <c r="D151" s="45"/>
      <c r="E151" s="5">
        <v>14.3</v>
      </c>
      <c r="F151" s="3">
        <v>0.17</v>
      </c>
      <c r="G151" s="3">
        <v>10</v>
      </c>
      <c r="H151" s="13">
        <v>0</v>
      </c>
      <c r="I151" s="29">
        <f t="shared" si="46"/>
        <v>0</v>
      </c>
      <c r="J151" s="30">
        <f t="shared" si="47"/>
        <v>0</v>
      </c>
      <c r="K151" s="93">
        <f t="shared" si="38"/>
        <v>7425</v>
      </c>
      <c r="L151" s="93">
        <f t="shared" si="39"/>
        <v>5445</v>
      </c>
      <c r="M151" s="93">
        <f t="shared" si="40"/>
        <v>5197.5</v>
      </c>
      <c r="N151" s="64">
        <v>4950</v>
      </c>
      <c r="O151" s="69"/>
      <c r="P151" s="132">
        <f t="shared" si="41"/>
        <v>4950</v>
      </c>
      <c r="Q151" s="133"/>
      <c r="R151" s="218">
        <f t="shared" si="42"/>
        <v>8550</v>
      </c>
      <c r="S151" s="218">
        <f t="shared" si="43"/>
        <v>6270.0000000000009</v>
      </c>
      <c r="T151" s="218">
        <f t="shared" si="44"/>
        <v>5985</v>
      </c>
      <c r="U151" s="111">
        <v>5700</v>
      </c>
      <c r="V151" s="108"/>
      <c r="W151" s="79"/>
      <c r="X151" s="86"/>
    </row>
    <row r="152" spans="1:24" ht="12.75" x14ac:dyDescent="0.2">
      <c r="A152" s="710"/>
      <c r="B152" s="14" t="s">
        <v>366</v>
      </c>
      <c r="C152" s="7" t="s">
        <v>75</v>
      </c>
      <c r="D152" s="45"/>
      <c r="E152" s="5">
        <v>34.299999999999997</v>
      </c>
      <c r="F152" s="3">
        <v>0.23</v>
      </c>
      <c r="G152" s="3">
        <v>6</v>
      </c>
      <c r="H152" s="13">
        <v>0</v>
      </c>
      <c r="I152" s="29">
        <f t="shared" si="46"/>
        <v>0</v>
      </c>
      <c r="J152" s="30">
        <f t="shared" si="47"/>
        <v>0</v>
      </c>
      <c r="K152" s="93">
        <f t="shared" si="38"/>
        <v>9750</v>
      </c>
      <c r="L152" s="93">
        <f t="shared" si="39"/>
        <v>7150.0000000000009</v>
      </c>
      <c r="M152" s="93">
        <f t="shared" si="40"/>
        <v>6825</v>
      </c>
      <c r="N152" s="64">
        <v>6500</v>
      </c>
      <c r="O152" s="69"/>
      <c r="P152" s="132">
        <f t="shared" si="41"/>
        <v>6500</v>
      </c>
      <c r="Q152" s="133"/>
      <c r="R152" s="218">
        <f t="shared" si="42"/>
        <v>10725.000000000002</v>
      </c>
      <c r="S152" s="218">
        <f t="shared" si="43"/>
        <v>7865.0000000000018</v>
      </c>
      <c r="T152" s="218">
        <f t="shared" si="44"/>
        <v>7507.5000000000009</v>
      </c>
      <c r="U152" s="111">
        <f>N152*1.1</f>
        <v>7150.0000000000009</v>
      </c>
      <c r="V152" s="108"/>
      <c r="W152" s="79"/>
      <c r="X152" s="86"/>
    </row>
    <row r="153" spans="1:24" ht="12.75" x14ac:dyDescent="0.2">
      <c r="A153" s="710"/>
      <c r="B153" s="14" t="s">
        <v>367</v>
      </c>
      <c r="C153" s="7" t="s">
        <v>75</v>
      </c>
      <c r="D153" s="45"/>
      <c r="E153" s="5">
        <v>34.299999999999997</v>
      </c>
      <c r="F153" s="3">
        <v>0.23</v>
      </c>
      <c r="G153" s="3">
        <v>6</v>
      </c>
      <c r="H153" s="13">
        <v>0</v>
      </c>
      <c r="I153" s="29">
        <f t="shared" si="46"/>
        <v>0</v>
      </c>
      <c r="J153" s="30">
        <f t="shared" si="47"/>
        <v>0</v>
      </c>
      <c r="K153" s="93">
        <f t="shared" si="38"/>
        <v>11212.5</v>
      </c>
      <c r="L153" s="93">
        <f t="shared" si="39"/>
        <v>8222.5</v>
      </c>
      <c r="M153" s="93">
        <f t="shared" si="40"/>
        <v>7848.75</v>
      </c>
      <c r="N153" s="64">
        <v>7475</v>
      </c>
      <c r="O153" s="69"/>
      <c r="P153" s="132">
        <f t="shared" si="41"/>
        <v>7475</v>
      </c>
      <c r="Q153" s="133"/>
      <c r="R153" s="218">
        <f t="shared" si="42"/>
        <v>12900</v>
      </c>
      <c r="S153" s="218">
        <f t="shared" si="43"/>
        <v>9460</v>
      </c>
      <c r="T153" s="218">
        <f t="shared" si="44"/>
        <v>9030</v>
      </c>
      <c r="U153" s="111">
        <v>8600</v>
      </c>
      <c r="V153" s="108"/>
      <c r="W153" s="79"/>
      <c r="X153" s="86"/>
    </row>
    <row r="154" spans="1:24" ht="15.75" customHeight="1" x14ac:dyDescent="0.2">
      <c r="A154" s="710"/>
      <c r="B154" s="14" t="s">
        <v>266</v>
      </c>
      <c r="C154" s="7" t="s">
        <v>89</v>
      </c>
      <c r="D154" s="32" t="s">
        <v>285</v>
      </c>
      <c r="E154" s="5">
        <v>15</v>
      </c>
      <c r="F154" s="3">
        <v>0.13</v>
      </c>
      <c r="G154" s="3"/>
      <c r="H154" s="13">
        <v>0</v>
      </c>
      <c r="I154" s="29">
        <f t="shared" si="46"/>
        <v>0</v>
      </c>
      <c r="J154" s="30">
        <f t="shared" si="47"/>
        <v>0</v>
      </c>
      <c r="K154" s="93">
        <f t="shared" si="38"/>
        <v>7200</v>
      </c>
      <c r="L154" s="93">
        <f t="shared" si="39"/>
        <v>5280</v>
      </c>
      <c r="M154" s="93">
        <f t="shared" si="40"/>
        <v>5040</v>
      </c>
      <c r="N154" s="64">
        <v>4800</v>
      </c>
      <c r="O154" s="69">
        <v>3691.4</v>
      </c>
      <c r="P154" s="132">
        <f t="shared" si="41"/>
        <v>1108.5999999999999</v>
      </c>
      <c r="Q154" s="133"/>
      <c r="R154" s="218">
        <f t="shared" si="42"/>
        <v>7920</v>
      </c>
      <c r="S154" s="218">
        <f t="shared" si="43"/>
        <v>5808.0000000000009</v>
      </c>
      <c r="T154" s="218">
        <f t="shared" si="44"/>
        <v>5544</v>
      </c>
      <c r="U154" s="111">
        <f>N154*1.1</f>
        <v>5280</v>
      </c>
      <c r="V154" s="108">
        <f t="shared" ref="V154:V163" si="48">O154*1.1</f>
        <v>4060.5400000000004</v>
      </c>
      <c r="W154" s="79">
        <f t="shared" si="45"/>
        <v>1219.4599999999996</v>
      </c>
      <c r="X154" s="86">
        <v>780</v>
      </c>
    </row>
    <row r="155" spans="1:24" ht="16.5" customHeight="1" x14ac:dyDescent="0.2">
      <c r="A155" s="710"/>
      <c r="B155" s="14" t="s">
        <v>271</v>
      </c>
      <c r="C155" s="7" t="s">
        <v>89</v>
      </c>
      <c r="D155" s="32" t="s">
        <v>285</v>
      </c>
      <c r="E155" s="5">
        <v>15</v>
      </c>
      <c r="F155" s="3">
        <v>0.13</v>
      </c>
      <c r="G155" s="3"/>
      <c r="H155" s="13">
        <v>0</v>
      </c>
      <c r="I155" s="29">
        <f t="shared" si="46"/>
        <v>0</v>
      </c>
      <c r="J155" s="30">
        <f t="shared" si="47"/>
        <v>0</v>
      </c>
      <c r="K155" s="93">
        <f t="shared" si="38"/>
        <v>8280</v>
      </c>
      <c r="L155" s="93">
        <f t="shared" si="39"/>
        <v>6072.0000000000009</v>
      </c>
      <c r="M155" s="93">
        <f t="shared" si="40"/>
        <v>5796</v>
      </c>
      <c r="N155" s="64">
        <v>5520</v>
      </c>
      <c r="O155" s="69">
        <v>4411.3999999999996</v>
      </c>
      <c r="P155" s="132">
        <f t="shared" si="41"/>
        <v>1108.6000000000004</v>
      </c>
      <c r="Q155" s="133"/>
      <c r="R155" s="218">
        <f t="shared" si="42"/>
        <v>9522</v>
      </c>
      <c r="S155" s="218">
        <f t="shared" si="43"/>
        <v>6982.8</v>
      </c>
      <c r="T155" s="218">
        <f t="shared" si="44"/>
        <v>6665.4000000000005</v>
      </c>
      <c r="U155" s="111">
        <v>6348</v>
      </c>
      <c r="V155" s="108">
        <f t="shared" si="48"/>
        <v>4852.54</v>
      </c>
      <c r="W155" s="79">
        <f t="shared" si="45"/>
        <v>1495.46</v>
      </c>
      <c r="X155" s="86">
        <v>780</v>
      </c>
    </row>
    <row r="156" spans="1:24" ht="13.5" customHeight="1" x14ac:dyDescent="0.2">
      <c r="A156" s="710"/>
      <c r="B156" s="14" t="s">
        <v>267</v>
      </c>
      <c r="C156" s="7" t="s">
        <v>90</v>
      </c>
      <c r="D156" s="32" t="s">
        <v>286</v>
      </c>
      <c r="E156" s="5">
        <v>17.3</v>
      </c>
      <c r="F156" s="3">
        <v>0.17</v>
      </c>
      <c r="G156" s="3"/>
      <c r="H156" s="13">
        <v>0</v>
      </c>
      <c r="I156" s="29">
        <f t="shared" si="46"/>
        <v>0</v>
      </c>
      <c r="J156" s="30">
        <f t="shared" si="47"/>
        <v>0</v>
      </c>
      <c r="K156" s="93">
        <f t="shared" si="38"/>
        <v>7650</v>
      </c>
      <c r="L156" s="93">
        <f t="shared" si="39"/>
        <v>5610</v>
      </c>
      <c r="M156" s="93">
        <f t="shared" si="40"/>
        <v>5355</v>
      </c>
      <c r="N156" s="64">
        <v>5100</v>
      </c>
      <c r="O156" s="69">
        <v>3946.55</v>
      </c>
      <c r="P156" s="132">
        <f t="shared" si="41"/>
        <v>1153.4499999999998</v>
      </c>
      <c r="Q156" s="133"/>
      <c r="R156" s="218">
        <f t="shared" si="42"/>
        <v>8415</v>
      </c>
      <c r="S156" s="218">
        <f t="shared" si="43"/>
        <v>6171.0000000000009</v>
      </c>
      <c r="T156" s="218">
        <f t="shared" si="44"/>
        <v>5890.5</v>
      </c>
      <c r="U156" s="111">
        <f>N156*1.1</f>
        <v>5610</v>
      </c>
      <c r="V156" s="108">
        <f t="shared" si="48"/>
        <v>4341.2050000000008</v>
      </c>
      <c r="W156" s="79">
        <f t="shared" si="45"/>
        <v>1268.7949999999992</v>
      </c>
      <c r="X156" s="86">
        <v>835</v>
      </c>
    </row>
    <row r="157" spans="1:24" ht="12.75" customHeight="1" x14ac:dyDescent="0.2">
      <c r="A157" s="710"/>
      <c r="B157" s="14" t="s">
        <v>272</v>
      </c>
      <c r="C157" s="7" t="s">
        <v>90</v>
      </c>
      <c r="D157" s="32" t="s">
        <v>286</v>
      </c>
      <c r="E157" s="5">
        <v>17.3</v>
      </c>
      <c r="F157" s="3">
        <v>0.17</v>
      </c>
      <c r="G157" s="3"/>
      <c r="H157" s="13">
        <v>0</v>
      </c>
      <c r="I157" s="29">
        <f t="shared" si="46"/>
        <v>0</v>
      </c>
      <c r="J157" s="30">
        <f t="shared" si="47"/>
        <v>0</v>
      </c>
      <c r="K157" s="93">
        <f t="shared" si="38"/>
        <v>8797.5</v>
      </c>
      <c r="L157" s="93">
        <f t="shared" si="39"/>
        <v>6451.5000000000009</v>
      </c>
      <c r="M157" s="93">
        <f t="shared" si="40"/>
        <v>6158.25</v>
      </c>
      <c r="N157" s="64">
        <v>5865</v>
      </c>
      <c r="O157" s="69">
        <v>4711.55</v>
      </c>
      <c r="P157" s="132">
        <f t="shared" si="41"/>
        <v>1153.4499999999998</v>
      </c>
      <c r="Q157" s="133"/>
      <c r="R157" s="218">
        <f t="shared" si="42"/>
        <v>10117.5</v>
      </c>
      <c r="S157" s="218">
        <f t="shared" si="43"/>
        <v>7419.5000000000009</v>
      </c>
      <c r="T157" s="218">
        <f t="shared" si="44"/>
        <v>7082.25</v>
      </c>
      <c r="U157" s="111">
        <v>6745</v>
      </c>
      <c r="V157" s="108">
        <f t="shared" si="48"/>
        <v>5182.7050000000008</v>
      </c>
      <c r="W157" s="79">
        <f t="shared" si="45"/>
        <v>1562.2949999999992</v>
      </c>
      <c r="X157" s="86">
        <v>835</v>
      </c>
    </row>
    <row r="158" spans="1:24" ht="14.25" customHeight="1" x14ac:dyDescent="0.2">
      <c r="A158" s="710"/>
      <c r="B158" s="14" t="s">
        <v>268</v>
      </c>
      <c r="C158" s="7" t="s">
        <v>91</v>
      </c>
      <c r="D158" s="32" t="s">
        <v>287</v>
      </c>
      <c r="E158" s="5">
        <v>24.9</v>
      </c>
      <c r="F158" s="3">
        <v>0.21</v>
      </c>
      <c r="G158" s="3"/>
      <c r="H158" s="13">
        <v>0</v>
      </c>
      <c r="I158" s="29">
        <f t="shared" si="46"/>
        <v>0</v>
      </c>
      <c r="J158" s="30">
        <f t="shared" si="47"/>
        <v>0</v>
      </c>
      <c r="K158" s="93">
        <f t="shared" si="38"/>
        <v>10425</v>
      </c>
      <c r="L158" s="93">
        <f t="shared" si="39"/>
        <v>7645.0000000000009</v>
      </c>
      <c r="M158" s="93">
        <f t="shared" si="40"/>
        <v>7297.5</v>
      </c>
      <c r="N158" s="64">
        <v>6950</v>
      </c>
      <c r="O158" s="69">
        <v>4751.2</v>
      </c>
      <c r="P158" s="132">
        <f t="shared" si="41"/>
        <v>2198.8000000000002</v>
      </c>
      <c r="Q158" s="133"/>
      <c r="R158" s="218">
        <f t="shared" si="42"/>
        <v>11467.500000000002</v>
      </c>
      <c r="S158" s="218">
        <f t="shared" si="43"/>
        <v>8409.5000000000018</v>
      </c>
      <c r="T158" s="218">
        <f t="shared" si="44"/>
        <v>8027.2500000000009</v>
      </c>
      <c r="U158" s="111">
        <f>N158*1.1</f>
        <v>7645.0000000000009</v>
      </c>
      <c r="V158" s="108">
        <f t="shared" si="48"/>
        <v>5226.3200000000006</v>
      </c>
      <c r="W158" s="79">
        <f t="shared" si="45"/>
        <v>2418.6800000000003</v>
      </c>
      <c r="X158" s="86">
        <v>1545.8</v>
      </c>
    </row>
    <row r="159" spans="1:24" ht="16.5" customHeight="1" x14ac:dyDescent="0.2">
      <c r="A159" s="710"/>
      <c r="B159" s="14" t="s">
        <v>273</v>
      </c>
      <c r="C159" s="7" t="s">
        <v>91</v>
      </c>
      <c r="D159" s="32" t="s">
        <v>287</v>
      </c>
      <c r="E159" s="5">
        <v>24.9</v>
      </c>
      <c r="F159" s="3">
        <v>0.21</v>
      </c>
      <c r="G159" s="3"/>
      <c r="H159" s="13">
        <v>0</v>
      </c>
      <c r="I159" s="29">
        <f t="shared" si="46"/>
        <v>0</v>
      </c>
      <c r="J159" s="30">
        <f t="shared" si="47"/>
        <v>0</v>
      </c>
      <c r="K159" s="93">
        <f t="shared" si="38"/>
        <v>11992.5</v>
      </c>
      <c r="L159" s="93">
        <f t="shared" si="39"/>
        <v>8794.5</v>
      </c>
      <c r="M159" s="93">
        <f t="shared" si="40"/>
        <v>8394.75</v>
      </c>
      <c r="N159" s="64">
        <v>7995</v>
      </c>
      <c r="O159" s="69">
        <v>5796.2</v>
      </c>
      <c r="P159" s="132">
        <f t="shared" si="41"/>
        <v>2198.8000000000002</v>
      </c>
      <c r="Q159" s="133"/>
      <c r="R159" s="218">
        <f t="shared" si="42"/>
        <v>13800</v>
      </c>
      <c r="S159" s="218">
        <f t="shared" si="43"/>
        <v>10120</v>
      </c>
      <c r="T159" s="218">
        <f t="shared" si="44"/>
        <v>9660</v>
      </c>
      <c r="U159" s="111">
        <v>9200</v>
      </c>
      <c r="V159" s="108">
        <f t="shared" si="48"/>
        <v>6375.8200000000006</v>
      </c>
      <c r="W159" s="79">
        <f t="shared" si="45"/>
        <v>2824.1799999999994</v>
      </c>
      <c r="X159" s="86">
        <v>1545.8</v>
      </c>
    </row>
    <row r="160" spans="1:24" ht="14.25" customHeight="1" x14ac:dyDescent="0.2">
      <c r="A160" s="710"/>
      <c r="B160" s="14" t="s">
        <v>269</v>
      </c>
      <c r="C160" s="7" t="s">
        <v>87</v>
      </c>
      <c r="D160" s="32" t="s">
        <v>288</v>
      </c>
      <c r="E160" s="5">
        <v>29</v>
      </c>
      <c r="F160" s="3">
        <v>0.28000000000000003</v>
      </c>
      <c r="G160" s="3"/>
      <c r="H160" s="13">
        <v>0</v>
      </c>
      <c r="I160" s="29">
        <f t="shared" si="46"/>
        <v>0</v>
      </c>
      <c r="J160" s="30">
        <f t="shared" si="47"/>
        <v>0</v>
      </c>
      <c r="K160" s="93">
        <f t="shared" si="38"/>
        <v>12900</v>
      </c>
      <c r="L160" s="93">
        <f t="shared" si="39"/>
        <v>9460</v>
      </c>
      <c r="M160" s="93">
        <f t="shared" si="40"/>
        <v>9030</v>
      </c>
      <c r="N160" s="64">
        <v>8600</v>
      </c>
      <c r="O160" s="69">
        <v>6117.15</v>
      </c>
      <c r="P160" s="132">
        <f t="shared" si="41"/>
        <v>2482.8500000000004</v>
      </c>
      <c r="Q160" s="133"/>
      <c r="R160" s="218">
        <f t="shared" si="42"/>
        <v>14190</v>
      </c>
      <c r="S160" s="218">
        <f t="shared" si="43"/>
        <v>10406</v>
      </c>
      <c r="T160" s="218">
        <f t="shared" si="44"/>
        <v>9933</v>
      </c>
      <c r="U160" s="111">
        <f>N160*1.1</f>
        <v>9460</v>
      </c>
      <c r="V160" s="108">
        <f t="shared" si="48"/>
        <v>6728.8649999999998</v>
      </c>
      <c r="W160" s="79">
        <f t="shared" si="45"/>
        <v>2731.1350000000002</v>
      </c>
      <c r="X160" s="86">
        <v>1745</v>
      </c>
    </row>
    <row r="161" spans="1:25" ht="14.25" customHeight="1" x14ac:dyDescent="0.2">
      <c r="A161" s="710"/>
      <c r="B161" s="14" t="s">
        <v>274</v>
      </c>
      <c r="C161" s="7" t="s">
        <v>87</v>
      </c>
      <c r="D161" s="32" t="s">
        <v>288</v>
      </c>
      <c r="E161" s="5">
        <v>29</v>
      </c>
      <c r="F161" s="3">
        <v>0.28000000000000003</v>
      </c>
      <c r="G161" s="3"/>
      <c r="H161" s="13">
        <v>0</v>
      </c>
      <c r="I161" s="29">
        <f t="shared" si="46"/>
        <v>0</v>
      </c>
      <c r="J161" s="30">
        <f t="shared" si="47"/>
        <v>0</v>
      </c>
      <c r="K161" s="93">
        <f t="shared" si="38"/>
        <v>14835</v>
      </c>
      <c r="L161" s="93">
        <f t="shared" si="39"/>
        <v>10879</v>
      </c>
      <c r="M161" s="93">
        <f t="shared" si="40"/>
        <v>10384.5</v>
      </c>
      <c r="N161" s="64">
        <v>9890</v>
      </c>
      <c r="O161" s="69">
        <v>7407.15</v>
      </c>
      <c r="P161" s="132">
        <f t="shared" si="41"/>
        <v>2482.8500000000004</v>
      </c>
      <c r="Q161" s="133"/>
      <c r="R161" s="218">
        <f t="shared" si="42"/>
        <v>17055</v>
      </c>
      <c r="S161" s="218">
        <f t="shared" si="43"/>
        <v>12507.000000000002</v>
      </c>
      <c r="T161" s="218">
        <f t="shared" si="44"/>
        <v>11938.5</v>
      </c>
      <c r="U161" s="111">
        <v>11370</v>
      </c>
      <c r="V161" s="108">
        <f t="shared" si="48"/>
        <v>8147.8650000000007</v>
      </c>
      <c r="W161" s="79">
        <f t="shared" si="45"/>
        <v>3222.1349999999993</v>
      </c>
      <c r="X161" s="86">
        <v>1745</v>
      </c>
    </row>
    <row r="162" spans="1:25" ht="15.75" customHeight="1" x14ac:dyDescent="0.2">
      <c r="A162" s="710"/>
      <c r="B162" s="14" t="s">
        <v>270</v>
      </c>
      <c r="C162" s="7" t="s">
        <v>88</v>
      </c>
      <c r="D162" s="32" t="s">
        <v>289</v>
      </c>
      <c r="E162" s="5">
        <v>34.799999999999997</v>
      </c>
      <c r="F162" s="3">
        <v>0.4</v>
      </c>
      <c r="G162" s="3"/>
      <c r="H162" s="13">
        <v>0</v>
      </c>
      <c r="I162" s="29">
        <f t="shared" si="46"/>
        <v>0</v>
      </c>
      <c r="J162" s="30">
        <f t="shared" si="47"/>
        <v>0</v>
      </c>
      <c r="K162" s="93">
        <f t="shared" si="38"/>
        <v>20700</v>
      </c>
      <c r="L162" s="93">
        <f t="shared" si="39"/>
        <v>15180.000000000002</v>
      </c>
      <c r="M162" s="93">
        <f t="shared" si="40"/>
        <v>14490</v>
      </c>
      <c r="N162" s="64">
        <v>13800</v>
      </c>
      <c r="O162" s="69">
        <v>6896.55</v>
      </c>
      <c r="P162" s="132">
        <f t="shared" si="41"/>
        <v>6903.45</v>
      </c>
      <c r="Q162" s="133"/>
      <c r="R162" s="218">
        <f t="shared" si="42"/>
        <v>22770.000000000004</v>
      </c>
      <c r="S162" s="218">
        <f t="shared" si="43"/>
        <v>16698.000000000004</v>
      </c>
      <c r="T162" s="218">
        <f t="shared" si="44"/>
        <v>15939.000000000002</v>
      </c>
      <c r="U162" s="111">
        <f>N162*1.1</f>
        <v>15180.000000000002</v>
      </c>
      <c r="V162" s="108">
        <f t="shared" si="48"/>
        <v>7586.2050000000008</v>
      </c>
      <c r="W162" s="79">
        <f t="shared" si="45"/>
        <v>7593.795000000001</v>
      </c>
      <c r="X162" s="86">
        <v>6027</v>
      </c>
    </row>
    <row r="163" spans="1:25" ht="15.75" customHeight="1" thickBot="1" x14ac:dyDescent="0.25">
      <c r="A163" s="718"/>
      <c r="B163" s="173" t="s">
        <v>275</v>
      </c>
      <c r="C163" s="174" t="s">
        <v>88</v>
      </c>
      <c r="D163" s="211" t="s">
        <v>289</v>
      </c>
      <c r="E163" s="136">
        <v>34.799999999999997</v>
      </c>
      <c r="F163" s="176">
        <v>0.4</v>
      </c>
      <c r="G163" s="176"/>
      <c r="H163" s="178">
        <v>0</v>
      </c>
      <c r="I163" s="179">
        <f t="shared" si="46"/>
        <v>0</v>
      </c>
      <c r="J163" s="180">
        <f t="shared" si="47"/>
        <v>0</v>
      </c>
      <c r="K163" s="139">
        <f t="shared" si="38"/>
        <v>23805</v>
      </c>
      <c r="L163" s="139">
        <f t="shared" si="39"/>
        <v>17457</v>
      </c>
      <c r="M163" s="139">
        <f t="shared" si="40"/>
        <v>16663.5</v>
      </c>
      <c r="N163" s="140">
        <v>15870</v>
      </c>
      <c r="O163" s="141">
        <v>8966.5499999999993</v>
      </c>
      <c r="P163" s="142">
        <f t="shared" si="41"/>
        <v>6903.4500000000007</v>
      </c>
      <c r="Q163" s="143"/>
      <c r="R163" s="219">
        <f t="shared" si="42"/>
        <v>27375</v>
      </c>
      <c r="S163" s="219">
        <f t="shared" si="43"/>
        <v>20075</v>
      </c>
      <c r="T163" s="219">
        <f t="shared" si="44"/>
        <v>19162.5</v>
      </c>
      <c r="U163" s="144">
        <v>18250</v>
      </c>
      <c r="V163" s="108">
        <f t="shared" si="48"/>
        <v>9863.2049999999999</v>
      </c>
      <c r="W163" s="79">
        <f t="shared" si="45"/>
        <v>8386.7950000000001</v>
      </c>
      <c r="X163" s="86">
        <v>6027</v>
      </c>
    </row>
    <row r="164" spans="1:25" ht="13.5" thickTop="1" x14ac:dyDescent="0.2">
      <c r="A164" s="717" t="s">
        <v>145</v>
      </c>
      <c r="B164" s="160" t="s">
        <v>513</v>
      </c>
      <c r="C164" s="161" t="s">
        <v>13</v>
      </c>
      <c r="D164" s="216"/>
      <c r="E164" s="162">
        <v>16</v>
      </c>
      <c r="F164" s="163">
        <v>0.09</v>
      </c>
      <c r="G164" s="163">
        <v>20</v>
      </c>
      <c r="H164" s="164">
        <v>0</v>
      </c>
      <c r="I164" s="165">
        <f t="shared" si="46"/>
        <v>0</v>
      </c>
      <c r="J164" s="166">
        <f t="shared" si="47"/>
        <v>0</v>
      </c>
      <c r="K164" s="167">
        <f t="shared" si="38"/>
        <v>4125</v>
      </c>
      <c r="L164" s="167">
        <f t="shared" si="39"/>
        <v>3025.0000000000005</v>
      </c>
      <c r="M164" s="167">
        <f t="shared" si="40"/>
        <v>2887.5</v>
      </c>
      <c r="N164" s="168">
        <v>2750</v>
      </c>
      <c r="O164" s="169"/>
      <c r="P164" s="170">
        <f t="shared" si="41"/>
        <v>2750</v>
      </c>
      <c r="Q164" s="171"/>
      <c r="R164" s="221">
        <f t="shared" si="42"/>
        <v>4537.5000000000009</v>
      </c>
      <c r="S164" s="221">
        <f t="shared" si="43"/>
        <v>3327.5000000000009</v>
      </c>
      <c r="T164" s="221">
        <f t="shared" si="44"/>
        <v>3176.2500000000005</v>
      </c>
      <c r="U164" s="172">
        <f>N164*1.1</f>
        <v>3025.0000000000005</v>
      </c>
      <c r="V164" s="108"/>
      <c r="W164" s="79"/>
      <c r="X164" s="86"/>
    </row>
    <row r="165" spans="1:25" ht="12.75" x14ac:dyDescent="0.2">
      <c r="A165" s="710"/>
      <c r="B165" s="14" t="s">
        <v>514</v>
      </c>
      <c r="C165" s="7" t="s">
        <v>75</v>
      </c>
      <c r="D165" s="45"/>
      <c r="E165" s="5">
        <v>33</v>
      </c>
      <c r="F165" s="3">
        <v>0.23</v>
      </c>
      <c r="G165" s="3">
        <v>6</v>
      </c>
      <c r="H165" s="13">
        <v>0</v>
      </c>
      <c r="I165" s="29">
        <f t="shared" si="46"/>
        <v>0</v>
      </c>
      <c r="J165" s="30">
        <f t="shared" si="47"/>
        <v>0</v>
      </c>
      <c r="K165" s="93">
        <f t="shared" si="38"/>
        <v>7800</v>
      </c>
      <c r="L165" s="93">
        <f t="shared" si="39"/>
        <v>5720.0000000000009</v>
      </c>
      <c r="M165" s="93">
        <f t="shared" si="40"/>
        <v>5460</v>
      </c>
      <c r="N165" s="64">
        <v>5200</v>
      </c>
      <c r="O165" s="69"/>
      <c r="P165" s="132">
        <f t="shared" si="41"/>
        <v>5200</v>
      </c>
      <c r="Q165" s="133"/>
      <c r="R165" s="218">
        <f t="shared" si="42"/>
        <v>8580.0000000000018</v>
      </c>
      <c r="S165" s="218">
        <f t="shared" si="43"/>
        <v>6292.0000000000018</v>
      </c>
      <c r="T165" s="218">
        <f t="shared" si="44"/>
        <v>6006.0000000000009</v>
      </c>
      <c r="U165" s="111">
        <f>N165*1.1</f>
        <v>5720.0000000000009</v>
      </c>
      <c r="V165" s="108"/>
      <c r="W165" s="79"/>
      <c r="X165" s="86"/>
    </row>
    <row r="166" spans="1:25" ht="15" customHeight="1" thickBot="1" x14ac:dyDescent="0.25">
      <c r="A166" s="718"/>
      <c r="B166" s="173" t="s">
        <v>515</v>
      </c>
      <c r="C166" s="174" t="s">
        <v>92</v>
      </c>
      <c r="D166" s="211" t="s">
        <v>291</v>
      </c>
      <c r="E166" s="136">
        <v>16.5</v>
      </c>
      <c r="F166" s="176">
        <v>0.17</v>
      </c>
      <c r="G166" s="176"/>
      <c r="H166" s="178">
        <v>0</v>
      </c>
      <c r="I166" s="179">
        <f t="shared" si="46"/>
        <v>0</v>
      </c>
      <c r="J166" s="180">
        <f t="shared" si="47"/>
        <v>0</v>
      </c>
      <c r="K166" s="139">
        <f t="shared" si="38"/>
        <v>6000</v>
      </c>
      <c r="L166" s="139">
        <f t="shared" si="39"/>
        <v>4400</v>
      </c>
      <c r="M166" s="139">
        <f t="shared" si="40"/>
        <v>4200</v>
      </c>
      <c r="N166" s="140">
        <v>4000</v>
      </c>
      <c r="O166" s="141">
        <v>2893.7</v>
      </c>
      <c r="P166" s="142">
        <f t="shared" si="41"/>
        <v>1106.3000000000002</v>
      </c>
      <c r="Q166" s="143"/>
      <c r="R166" s="219">
        <f t="shared" si="42"/>
        <v>6600</v>
      </c>
      <c r="S166" s="219">
        <f t="shared" si="43"/>
        <v>4840</v>
      </c>
      <c r="T166" s="219">
        <f t="shared" si="44"/>
        <v>4620</v>
      </c>
      <c r="U166" s="144">
        <f>N166*1.1</f>
        <v>4400</v>
      </c>
      <c r="V166" s="108">
        <f>O166*1.1</f>
        <v>3183.07</v>
      </c>
      <c r="W166" s="79">
        <f t="shared" si="45"/>
        <v>1216.9299999999998</v>
      </c>
      <c r="X166" s="86">
        <v>777.2</v>
      </c>
    </row>
    <row r="167" spans="1:25" ht="13.5" thickTop="1" x14ac:dyDescent="0.2">
      <c r="A167" s="717" t="s">
        <v>160</v>
      </c>
      <c r="B167" s="160" t="s">
        <v>516</v>
      </c>
      <c r="C167" s="181" t="s">
        <v>74</v>
      </c>
      <c r="D167" s="210"/>
      <c r="E167" s="162">
        <v>13</v>
      </c>
      <c r="F167" s="163">
        <v>0.1</v>
      </c>
      <c r="G167" s="163">
        <v>10</v>
      </c>
      <c r="H167" s="164">
        <v>0</v>
      </c>
      <c r="I167" s="165">
        <f t="shared" si="46"/>
        <v>0</v>
      </c>
      <c r="J167" s="166">
        <f t="shared" si="47"/>
        <v>0</v>
      </c>
      <c r="K167" s="167">
        <f t="shared" si="38"/>
        <v>2370</v>
      </c>
      <c r="L167" s="167">
        <f t="shared" si="39"/>
        <v>1738.0000000000002</v>
      </c>
      <c r="M167" s="167">
        <f t="shared" si="40"/>
        <v>1659</v>
      </c>
      <c r="N167" s="168">
        <v>1580</v>
      </c>
      <c r="O167" s="169"/>
      <c r="P167" s="170">
        <f t="shared" si="41"/>
        <v>1580</v>
      </c>
      <c r="Q167" s="171"/>
      <c r="R167" s="221">
        <f t="shared" si="42"/>
        <v>2730</v>
      </c>
      <c r="S167" s="221">
        <f t="shared" si="43"/>
        <v>2002.0000000000002</v>
      </c>
      <c r="T167" s="221">
        <f t="shared" si="44"/>
        <v>1911</v>
      </c>
      <c r="U167" s="172">
        <v>1820</v>
      </c>
      <c r="V167" s="108"/>
      <c r="W167" s="79"/>
      <c r="X167" s="86"/>
    </row>
    <row r="168" spans="1:25" ht="15" customHeight="1" thickBot="1" x14ac:dyDescent="0.25">
      <c r="A168" s="718"/>
      <c r="B168" s="173" t="s">
        <v>517</v>
      </c>
      <c r="C168" s="174" t="s">
        <v>104</v>
      </c>
      <c r="D168" s="211" t="s">
        <v>285</v>
      </c>
      <c r="E168" s="136">
        <v>14</v>
      </c>
      <c r="F168" s="176">
        <v>0.12</v>
      </c>
      <c r="G168" s="176"/>
      <c r="H168" s="178">
        <v>0</v>
      </c>
      <c r="I168" s="179">
        <f t="shared" si="46"/>
        <v>0</v>
      </c>
      <c r="J168" s="180">
        <f t="shared" si="47"/>
        <v>0</v>
      </c>
      <c r="K168" s="139">
        <f t="shared" si="38"/>
        <v>4200</v>
      </c>
      <c r="L168" s="139">
        <f t="shared" si="39"/>
        <v>3080.0000000000005</v>
      </c>
      <c r="M168" s="139">
        <f t="shared" si="40"/>
        <v>2940</v>
      </c>
      <c r="N168" s="140">
        <v>2800</v>
      </c>
      <c r="O168" s="141">
        <v>1691.4</v>
      </c>
      <c r="P168" s="142">
        <f t="shared" si="41"/>
        <v>1108.5999999999999</v>
      </c>
      <c r="Q168" s="143"/>
      <c r="R168" s="219">
        <f t="shared" si="42"/>
        <v>4620.0000000000009</v>
      </c>
      <c r="S168" s="219">
        <f t="shared" si="43"/>
        <v>3388.0000000000009</v>
      </c>
      <c r="T168" s="219">
        <f t="shared" si="44"/>
        <v>3234.0000000000005</v>
      </c>
      <c r="U168" s="144">
        <f>N168*1.1</f>
        <v>3080.0000000000005</v>
      </c>
      <c r="V168" s="108">
        <f t="shared" ref="V168:V190" si="49">O168*1.1</f>
        <v>1860.5400000000002</v>
      </c>
      <c r="W168" s="79">
        <f t="shared" si="45"/>
        <v>1219.4600000000003</v>
      </c>
      <c r="X168" s="86">
        <v>780</v>
      </c>
    </row>
    <row r="169" spans="1:25" ht="16.5" thickTop="1" x14ac:dyDescent="0.25">
      <c r="A169" s="121"/>
      <c r="B169" s="217" t="s">
        <v>163</v>
      </c>
      <c r="C169" s="17"/>
      <c r="D169" s="17"/>
      <c r="E169" s="122"/>
      <c r="F169" s="123"/>
      <c r="G169" s="123"/>
      <c r="H169" s="124">
        <v>0</v>
      </c>
      <c r="I169" s="125"/>
      <c r="J169" s="126"/>
      <c r="K169" s="127">
        <f t="shared" si="38"/>
        <v>0</v>
      </c>
      <c r="L169" s="127">
        <f t="shared" si="39"/>
        <v>0</v>
      </c>
      <c r="M169" s="127">
        <f t="shared" si="40"/>
        <v>0</v>
      </c>
      <c r="N169" s="67"/>
      <c r="O169" s="128"/>
      <c r="P169" s="62">
        <f t="shared" si="41"/>
        <v>0</v>
      </c>
      <c r="R169" s="222"/>
      <c r="S169" s="222"/>
      <c r="T169" s="222"/>
      <c r="U169" s="129"/>
      <c r="V169" s="108">
        <f t="shared" si="49"/>
        <v>0</v>
      </c>
      <c r="W169" s="79">
        <f t="shared" si="45"/>
        <v>0</v>
      </c>
      <c r="X169" s="86"/>
    </row>
    <row r="170" spans="1:25" s="1" customFormat="1" ht="26.25" customHeight="1" x14ac:dyDescent="0.2">
      <c r="A170" s="711" t="s">
        <v>163</v>
      </c>
      <c r="B170" s="2" t="s">
        <v>47</v>
      </c>
      <c r="C170" s="9" t="s">
        <v>116</v>
      </c>
      <c r="D170" s="9"/>
      <c r="E170" s="5">
        <v>15</v>
      </c>
      <c r="F170" s="3">
        <v>0.06</v>
      </c>
      <c r="G170" s="3"/>
      <c r="H170" s="13">
        <v>0</v>
      </c>
      <c r="I170" s="29">
        <f t="shared" ref="I170:I185" si="50">H170*E170</f>
        <v>0</v>
      </c>
      <c r="J170" s="30">
        <f t="shared" ref="J170:J185" si="51">F170*H170</f>
        <v>0</v>
      </c>
      <c r="K170" s="93">
        <f t="shared" si="38"/>
        <v>0</v>
      </c>
      <c r="L170" s="93">
        <f t="shared" si="39"/>
        <v>0</v>
      </c>
      <c r="M170" s="93">
        <f t="shared" si="40"/>
        <v>0</v>
      </c>
      <c r="N170" s="64"/>
      <c r="O170" s="69"/>
      <c r="P170" s="61">
        <f t="shared" si="41"/>
        <v>0</v>
      </c>
      <c r="Q170" s="102"/>
      <c r="R170" s="218"/>
      <c r="S170" s="218"/>
      <c r="T170" s="218"/>
      <c r="U170" s="111"/>
      <c r="V170" s="83">
        <f t="shared" si="49"/>
        <v>0</v>
      </c>
      <c r="W170" s="80">
        <f t="shared" si="45"/>
        <v>0</v>
      </c>
      <c r="X170" s="86"/>
      <c r="Y170" s="116"/>
    </row>
    <row r="171" spans="1:25" ht="26.25" customHeight="1" x14ac:dyDescent="0.2">
      <c r="A171" s="711"/>
      <c r="B171" s="4" t="s">
        <v>48</v>
      </c>
      <c r="C171" s="9" t="s">
        <v>117</v>
      </c>
      <c r="D171" s="9"/>
      <c r="E171" s="5">
        <v>14.6</v>
      </c>
      <c r="F171" s="3">
        <v>6.2E-2</v>
      </c>
      <c r="G171" s="3"/>
      <c r="H171" s="13">
        <v>0</v>
      </c>
      <c r="I171" s="29">
        <f t="shared" si="50"/>
        <v>0</v>
      </c>
      <c r="J171" s="30">
        <f t="shared" si="51"/>
        <v>0</v>
      </c>
      <c r="K171" s="93">
        <f t="shared" si="38"/>
        <v>0</v>
      </c>
      <c r="L171" s="93">
        <f t="shared" si="39"/>
        <v>0</v>
      </c>
      <c r="M171" s="93">
        <f t="shared" si="40"/>
        <v>0</v>
      </c>
      <c r="N171" s="64"/>
      <c r="O171" s="69"/>
      <c r="P171" s="62">
        <f t="shared" si="41"/>
        <v>0</v>
      </c>
      <c r="R171" s="218"/>
      <c r="S171" s="218"/>
      <c r="T171" s="218"/>
      <c r="U171" s="111"/>
      <c r="V171" s="108">
        <f t="shared" si="49"/>
        <v>0</v>
      </c>
      <c r="W171" s="79">
        <f t="shared" si="45"/>
        <v>0</v>
      </c>
      <c r="X171" s="86"/>
    </row>
    <row r="172" spans="1:25" ht="26.25" customHeight="1" x14ac:dyDescent="0.2">
      <c r="A172" s="711"/>
      <c r="B172" s="4" t="s">
        <v>49</v>
      </c>
      <c r="C172" s="9" t="s">
        <v>118</v>
      </c>
      <c r="D172" s="9"/>
      <c r="E172" s="5">
        <v>15.2</v>
      </c>
      <c r="F172" s="3">
        <v>0.06</v>
      </c>
      <c r="G172" s="3"/>
      <c r="H172" s="13">
        <v>0</v>
      </c>
      <c r="I172" s="29">
        <f t="shared" si="50"/>
        <v>0</v>
      </c>
      <c r="J172" s="30">
        <f t="shared" si="51"/>
        <v>0</v>
      </c>
      <c r="K172" s="93">
        <f t="shared" si="38"/>
        <v>0</v>
      </c>
      <c r="L172" s="93">
        <f t="shared" si="39"/>
        <v>0</v>
      </c>
      <c r="M172" s="93">
        <f t="shared" si="40"/>
        <v>0</v>
      </c>
      <c r="N172" s="64"/>
      <c r="O172" s="69"/>
      <c r="P172" s="62">
        <f t="shared" si="41"/>
        <v>0</v>
      </c>
      <c r="R172" s="218"/>
      <c r="S172" s="218"/>
      <c r="T172" s="218"/>
      <c r="U172" s="111"/>
      <c r="V172" s="108">
        <f t="shared" si="49"/>
        <v>0</v>
      </c>
      <c r="W172" s="79">
        <f t="shared" si="45"/>
        <v>0</v>
      </c>
      <c r="X172" s="86"/>
    </row>
    <row r="173" spans="1:25" ht="26.25" customHeight="1" x14ac:dyDescent="0.2">
      <c r="A173" s="711"/>
      <c r="B173" s="4" t="s">
        <v>50</v>
      </c>
      <c r="C173" s="9" t="s">
        <v>119</v>
      </c>
      <c r="D173" s="9"/>
      <c r="E173" s="5">
        <v>18</v>
      </c>
      <c r="F173" s="3">
        <v>7.5999999999999998E-2</v>
      </c>
      <c r="G173" s="3"/>
      <c r="H173" s="13">
        <v>0</v>
      </c>
      <c r="I173" s="29">
        <f t="shared" si="50"/>
        <v>0</v>
      </c>
      <c r="J173" s="30">
        <f t="shared" si="51"/>
        <v>0</v>
      </c>
      <c r="K173" s="93">
        <f t="shared" si="38"/>
        <v>0</v>
      </c>
      <c r="L173" s="93">
        <f t="shared" si="39"/>
        <v>0</v>
      </c>
      <c r="M173" s="93">
        <f t="shared" si="40"/>
        <v>0</v>
      </c>
      <c r="N173" s="64"/>
      <c r="O173" s="69"/>
      <c r="P173" s="62">
        <f t="shared" si="41"/>
        <v>0</v>
      </c>
      <c r="R173" s="218"/>
      <c r="S173" s="218"/>
      <c r="T173" s="218"/>
      <c r="U173" s="111"/>
      <c r="V173" s="108">
        <f t="shared" si="49"/>
        <v>0</v>
      </c>
      <c r="W173" s="79">
        <f t="shared" si="45"/>
        <v>0</v>
      </c>
      <c r="X173" s="86"/>
    </row>
    <row r="174" spans="1:25" ht="24" customHeight="1" x14ac:dyDescent="0.2">
      <c r="A174" s="711"/>
      <c r="B174" s="4" t="s">
        <v>528</v>
      </c>
      <c r="C174" s="9" t="s">
        <v>121</v>
      </c>
      <c r="D174" s="9"/>
      <c r="E174" s="5">
        <v>22</v>
      </c>
      <c r="F174" s="3">
        <v>0.1</v>
      </c>
      <c r="G174" s="3"/>
      <c r="H174" s="13">
        <v>0</v>
      </c>
      <c r="I174" s="29">
        <f t="shared" si="50"/>
        <v>0</v>
      </c>
      <c r="J174" s="30">
        <f t="shared" si="51"/>
        <v>0</v>
      </c>
      <c r="K174" s="93">
        <f t="shared" si="38"/>
        <v>0</v>
      </c>
      <c r="L174" s="93">
        <f t="shared" si="39"/>
        <v>0</v>
      </c>
      <c r="M174" s="93">
        <f t="shared" si="40"/>
        <v>0</v>
      </c>
      <c r="N174" s="64"/>
      <c r="O174" s="69"/>
      <c r="P174" s="62">
        <f t="shared" si="41"/>
        <v>0</v>
      </c>
      <c r="R174" s="218"/>
      <c r="S174" s="218"/>
      <c r="T174" s="218"/>
      <c r="U174" s="111">
        <v>2785</v>
      </c>
      <c r="V174" s="108">
        <f t="shared" si="49"/>
        <v>0</v>
      </c>
      <c r="W174" s="79">
        <f t="shared" si="45"/>
        <v>2785</v>
      </c>
      <c r="X174" s="86"/>
    </row>
    <row r="175" spans="1:25" ht="27" customHeight="1" x14ac:dyDescent="0.2">
      <c r="A175" s="711"/>
      <c r="B175" s="4" t="s">
        <v>461</v>
      </c>
      <c r="C175" s="9" t="s">
        <v>462</v>
      </c>
      <c r="D175" s="41"/>
      <c r="E175" s="36"/>
      <c r="F175" s="34"/>
      <c r="G175" s="34"/>
      <c r="H175" s="37"/>
      <c r="I175" s="38"/>
      <c r="J175" s="81"/>
      <c r="K175" s="94">
        <f>N175*1.5</f>
        <v>0</v>
      </c>
      <c r="L175" s="94">
        <f>N175*1.1</f>
        <v>0</v>
      </c>
      <c r="M175" s="94">
        <f>N175*1.05</f>
        <v>0</v>
      </c>
      <c r="N175" s="82"/>
      <c r="O175" s="83"/>
      <c r="P175" s="84">
        <f>N175-O175</f>
        <v>0</v>
      </c>
      <c r="Q175" s="101"/>
      <c r="R175" s="223"/>
      <c r="S175" s="223"/>
      <c r="T175" s="224"/>
      <c r="U175" s="118"/>
      <c r="V175" s="119">
        <f>O175*1.1</f>
        <v>0</v>
      </c>
      <c r="W175" s="89">
        <f>U175-V175</f>
        <v>0</v>
      </c>
      <c r="X175" s="90"/>
    </row>
    <row r="176" spans="1:25" ht="23.25" customHeight="1" x14ac:dyDescent="0.2">
      <c r="A176" s="711"/>
      <c r="B176" s="4" t="s">
        <v>52</v>
      </c>
      <c r="C176" s="9" t="s">
        <v>120</v>
      </c>
      <c r="D176" s="9"/>
      <c r="E176" s="5">
        <v>28.5</v>
      </c>
      <c r="F176" s="3">
        <v>0.125</v>
      </c>
      <c r="G176" s="3"/>
      <c r="H176" s="13">
        <v>0</v>
      </c>
      <c r="I176" s="29">
        <f t="shared" si="50"/>
        <v>0</v>
      </c>
      <c r="J176" s="30">
        <f t="shared" si="51"/>
        <v>0</v>
      </c>
      <c r="K176" s="93">
        <f t="shared" si="38"/>
        <v>0</v>
      </c>
      <c r="L176" s="93">
        <f t="shared" si="39"/>
        <v>0</v>
      </c>
      <c r="M176" s="93">
        <f t="shared" si="40"/>
        <v>0</v>
      </c>
      <c r="N176" s="64"/>
      <c r="O176" s="69"/>
      <c r="P176" s="62">
        <f t="shared" si="41"/>
        <v>0</v>
      </c>
      <c r="R176" s="218"/>
      <c r="S176" s="218"/>
      <c r="T176" s="218"/>
      <c r="U176" s="111"/>
      <c r="V176" s="108">
        <f t="shared" si="49"/>
        <v>0</v>
      </c>
      <c r="W176" s="79">
        <f t="shared" si="45"/>
        <v>0</v>
      </c>
      <c r="X176" s="86"/>
    </row>
    <row r="177" spans="1:24" ht="30" customHeight="1" x14ac:dyDescent="0.2">
      <c r="A177" s="711"/>
      <c r="B177" s="4" t="s">
        <v>527</v>
      </c>
      <c r="C177" s="9"/>
      <c r="D177" s="9"/>
      <c r="E177" s="5">
        <v>14.4</v>
      </c>
      <c r="F177" s="3">
        <v>5.8000000000000003E-2</v>
      </c>
      <c r="G177" s="3"/>
      <c r="H177" s="13">
        <v>0</v>
      </c>
      <c r="I177" s="29">
        <f t="shared" si="50"/>
        <v>0</v>
      </c>
      <c r="J177" s="30">
        <f t="shared" si="51"/>
        <v>0</v>
      </c>
      <c r="K177" s="93">
        <f t="shared" si="38"/>
        <v>0</v>
      </c>
      <c r="L177" s="93">
        <f t="shared" si="39"/>
        <v>0</v>
      </c>
      <c r="M177" s="93">
        <f t="shared" si="40"/>
        <v>0</v>
      </c>
      <c r="N177" s="64"/>
      <c r="O177" s="69"/>
      <c r="P177" s="62">
        <f t="shared" si="41"/>
        <v>0</v>
      </c>
      <c r="R177" s="218"/>
      <c r="S177" s="218"/>
      <c r="T177" s="218"/>
      <c r="U177" s="111">
        <v>1300</v>
      </c>
      <c r="V177" s="108">
        <f t="shared" si="49"/>
        <v>0</v>
      </c>
      <c r="W177" s="79">
        <f t="shared" si="45"/>
        <v>1300</v>
      </c>
      <c r="X177" s="86"/>
    </row>
    <row r="178" spans="1:24" ht="15.75" customHeight="1" x14ac:dyDescent="0.2">
      <c r="A178" s="711"/>
      <c r="B178" s="4" t="s">
        <v>54</v>
      </c>
      <c r="C178" s="9" t="s">
        <v>122</v>
      </c>
      <c r="D178" s="9"/>
      <c r="E178" s="5">
        <v>11.7</v>
      </c>
      <c r="F178" s="3">
        <v>5.3999999999999999E-2</v>
      </c>
      <c r="G178" s="3"/>
      <c r="H178" s="13">
        <v>0</v>
      </c>
      <c r="I178" s="29">
        <f t="shared" si="50"/>
        <v>0</v>
      </c>
      <c r="J178" s="30">
        <f t="shared" si="51"/>
        <v>0</v>
      </c>
      <c r="K178" s="93">
        <f t="shared" si="38"/>
        <v>0</v>
      </c>
      <c r="L178" s="93">
        <f t="shared" si="39"/>
        <v>0</v>
      </c>
      <c r="M178" s="93">
        <f t="shared" si="40"/>
        <v>0</v>
      </c>
      <c r="N178" s="64"/>
      <c r="O178" s="69"/>
      <c r="P178" s="62">
        <f t="shared" si="41"/>
        <v>0</v>
      </c>
      <c r="R178" s="218"/>
      <c r="S178" s="218"/>
      <c r="T178" s="218"/>
      <c r="U178" s="111"/>
      <c r="V178" s="108">
        <f t="shared" si="49"/>
        <v>0</v>
      </c>
      <c r="W178" s="79">
        <f t="shared" si="45"/>
        <v>0</v>
      </c>
      <c r="X178" s="86"/>
    </row>
    <row r="179" spans="1:24" ht="15.75" customHeight="1" x14ac:dyDescent="0.2">
      <c r="A179" s="711"/>
      <c r="B179" s="4" t="s">
        <v>55</v>
      </c>
      <c r="C179" s="9" t="s">
        <v>123</v>
      </c>
      <c r="D179" s="9"/>
      <c r="E179" s="5">
        <v>15.7</v>
      </c>
      <c r="F179" s="3">
        <v>7.3999999999999996E-2</v>
      </c>
      <c r="G179" s="3"/>
      <c r="H179" s="13">
        <v>0</v>
      </c>
      <c r="I179" s="29">
        <f t="shared" si="50"/>
        <v>0</v>
      </c>
      <c r="J179" s="30">
        <f t="shared" si="51"/>
        <v>0</v>
      </c>
      <c r="K179" s="93">
        <f t="shared" si="38"/>
        <v>0</v>
      </c>
      <c r="L179" s="93">
        <f t="shared" si="39"/>
        <v>0</v>
      </c>
      <c r="M179" s="93">
        <f t="shared" si="40"/>
        <v>0</v>
      </c>
      <c r="N179" s="64"/>
      <c r="O179" s="69"/>
      <c r="P179" s="62">
        <f t="shared" si="41"/>
        <v>0</v>
      </c>
      <c r="R179" s="218"/>
      <c r="S179" s="218"/>
      <c r="T179" s="218"/>
      <c r="U179" s="111"/>
      <c r="V179" s="108">
        <f t="shared" si="49"/>
        <v>0</v>
      </c>
      <c r="W179" s="79">
        <f t="shared" si="45"/>
        <v>0</v>
      </c>
      <c r="X179" s="86"/>
    </row>
    <row r="180" spans="1:24" ht="15.75" customHeight="1" x14ac:dyDescent="0.2">
      <c r="A180" s="711"/>
      <c r="B180" s="4" t="s">
        <v>56</v>
      </c>
      <c r="C180" s="9" t="s">
        <v>124</v>
      </c>
      <c r="D180" s="9"/>
      <c r="E180" s="5">
        <v>28</v>
      </c>
      <c r="F180" s="3">
        <v>0.12</v>
      </c>
      <c r="G180" s="3"/>
      <c r="H180" s="13">
        <v>0</v>
      </c>
      <c r="I180" s="29">
        <f t="shared" si="50"/>
        <v>0</v>
      </c>
      <c r="J180" s="30">
        <f t="shared" si="51"/>
        <v>0</v>
      </c>
      <c r="K180" s="93">
        <f t="shared" ref="K180:K190" si="52">N180*1.5</f>
        <v>0</v>
      </c>
      <c r="L180" s="93">
        <f t="shared" ref="L180:L190" si="53">N180*1.1</f>
        <v>0</v>
      </c>
      <c r="M180" s="93">
        <f t="shared" ref="M180:M190" si="54">N180*1.05</f>
        <v>0</v>
      </c>
      <c r="N180" s="64"/>
      <c r="O180" s="69"/>
      <c r="P180" s="62">
        <f t="shared" ref="P180:P190" si="55">N180-O180</f>
        <v>0</v>
      </c>
      <c r="R180" s="218"/>
      <c r="S180" s="218"/>
      <c r="T180" s="218"/>
      <c r="U180" s="111"/>
      <c r="V180" s="108">
        <f t="shared" si="49"/>
        <v>0</v>
      </c>
      <c r="W180" s="79">
        <f t="shared" si="45"/>
        <v>0</v>
      </c>
      <c r="X180" s="86"/>
    </row>
    <row r="181" spans="1:24" ht="26.25" customHeight="1" x14ac:dyDescent="0.2">
      <c r="A181" s="711"/>
      <c r="B181" s="4" t="s">
        <v>57</v>
      </c>
      <c r="C181" s="9" t="s">
        <v>129</v>
      </c>
      <c r="D181" s="9"/>
      <c r="E181" s="5">
        <v>8</v>
      </c>
      <c r="F181" s="3">
        <v>0.05</v>
      </c>
      <c r="G181" s="3"/>
      <c r="H181" s="13">
        <v>0</v>
      </c>
      <c r="I181" s="29">
        <f t="shared" si="50"/>
        <v>0</v>
      </c>
      <c r="J181" s="30">
        <f t="shared" si="51"/>
        <v>0</v>
      </c>
      <c r="K181" s="93">
        <f t="shared" si="52"/>
        <v>0</v>
      </c>
      <c r="L181" s="93">
        <f t="shared" si="53"/>
        <v>0</v>
      </c>
      <c r="M181" s="93">
        <f t="shared" si="54"/>
        <v>0</v>
      </c>
      <c r="N181" s="64"/>
      <c r="O181" s="69"/>
      <c r="P181" s="62">
        <f t="shared" si="55"/>
        <v>0</v>
      </c>
      <c r="R181" s="218"/>
      <c r="S181" s="218"/>
      <c r="T181" s="218"/>
      <c r="U181" s="111"/>
      <c r="V181" s="108">
        <f t="shared" si="49"/>
        <v>0</v>
      </c>
      <c r="W181" s="79">
        <f t="shared" si="45"/>
        <v>0</v>
      </c>
      <c r="X181" s="86"/>
    </row>
    <row r="182" spans="1:24" ht="26.25" customHeight="1" x14ac:dyDescent="0.2">
      <c r="A182" s="711"/>
      <c r="B182" s="4" t="s">
        <v>58</v>
      </c>
      <c r="C182" s="9" t="s">
        <v>130</v>
      </c>
      <c r="D182" s="9"/>
      <c r="E182" s="5">
        <v>12</v>
      </c>
      <c r="F182" s="3">
        <v>0.06</v>
      </c>
      <c r="G182" s="3"/>
      <c r="H182" s="13">
        <v>0</v>
      </c>
      <c r="I182" s="29">
        <f t="shared" si="50"/>
        <v>0</v>
      </c>
      <c r="J182" s="30">
        <f t="shared" si="51"/>
        <v>0</v>
      </c>
      <c r="K182" s="93">
        <f t="shared" si="52"/>
        <v>0</v>
      </c>
      <c r="L182" s="93">
        <f t="shared" si="53"/>
        <v>0</v>
      </c>
      <c r="M182" s="93">
        <f t="shared" si="54"/>
        <v>0</v>
      </c>
      <c r="N182" s="64"/>
      <c r="O182" s="69"/>
      <c r="P182" s="62">
        <f t="shared" si="55"/>
        <v>0</v>
      </c>
      <c r="R182" s="218"/>
      <c r="S182" s="218"/>
      <c r="T182" s="218"/>
      <c r="U182" s="111"/>
      <c r="V182" s="108">
        <f t="shared" si="49"/>
        <v>0</v>
      </c>
      <c r="W182" s="79">
        <f t="shared" si="45"/>
        <v>0</v>
      </c>
      <c r="X182" s="86"/>
    </row>
    <row r="183" spans="1:24" ht="26.25" customHeight="1" x14ac:dyDescent="0.2">
      <c r="A183" s="711"/>
      <c r="B183" s="4" t="s">
        <v>59</v>
      </c>
      <c r="C183" s="9" t="s">
        <v>131</v>
      </c>
      <c r="D183" s="9"/>
      <c r="E183" s="5">
        <v>15</v>
      </c>
      <c r="F183" s="3">
        <v>7.4999999999999997E-2</v>
      </c>
      <c r="G183" s="3"/>
      <c r="H183" s="13">
        <v>0</v>
      </c>
      <c r="I183" s="29">
        <f t="shared" si="50"/>
        <v>0</v>
      </c>
      <c r="J183" s="30">
        <f t="shared" si="51"/>
        <v>0</v>
      </c>
      <c r="K183" s="93">
        <f t="shared" si="52"/>
        <v>0</v>
      </c>
      <c r="L183" s="93">
        <f t="shared" si="53"/>
        <v>0</v>
      </c>
      <c r="M183" s="93">
        <f t="shared" si="54"/>
        <v>0</v>
      </c>
      <c r="N183" s="64"/>
      <c r="O183" s="69"/>
      <c r="P183" s="62">
        <f t="shared" si="55"/>
        <v>0</v>
      </c>
      <c r="R183" s="218"/>
      <c r="S183" s="218"/>
      <c r="T183" s="218"/>
      <c r="U183" s="111"/>
      <c r="V183" s="108">
        <f t="shared" si="49"/>
        <v>0</v>
      </c>
      <c r="W183" s="79">
        <f t="shared" si="45"/>
        <v>0</v>
      </c>
      <c r="X183" s="86"/>
    </row>
    <row r="184" spans="1:24" ht="26.25" customHeight="1" x14ac:dyDescent="0.2">
      <c r="A184" s="711"/>
      <c r="B184" s="4" t="s">
        <v>60</v>
      </c>
      <c r="C184" s="9" t="s">
        <v>132</v>
      </c>
      <c r="D184" s="9"/>
      <c r="E184" s="5">
        <v>20</v>
      </c>
      <c r="F184" s="3">
        <v>8.5999999999999993E-2</v>
      </c>
      <c r="G184" s="3"/>
      <c r="H184" s="13">
        <v>0</v>
      </c>
      <c r="I184" s="29">
        <f t="shared" si="50"/>
        <v>0</v>
      </c>
      <c r="J184" s="30">
        <f t="shared" si="51"/>
        <v>0</v>
      </c>
      <c r="K184" s="93">
        <f t="shared" si="52"/>
        <v>0</v>
      </c>
      <c r="L184" s="93">
        <f t="shared" si="53"/>
        <v>0</v>
      </c>
      <c r="M184" s="93">
        <f t="shared" si="54"/>
        <v>0</v>
      </c>
      <c r="N184" s="64"/>
      <c r="O184" s="69"/>
      <c r="P184" s="62">
        <f t="shared" si="55"/>
        <v>0</v>
      </c>
      <c r="R184" s="218"/>
      <c r="S184" s="218"/>
      <c r="T184" s="218"/>
      <c r="U184" s="111"/>
      <c r="V184" s="108">
        <f t="shared" si="49"/>
        <v>0</v>
      </c>
      <c r="W184" s="79">
        <f t="shared" si="45"/>
        <v>0</v>
      </c>
      <c r="X184" s="86"/>
    </row>
    <row r="185" spans="1:24" ht="15.75" customHeight="1" x14ac:dyDescent="0.2">
      <c r="A185" s="711"/>
      <c r="B185" s="4" t="s">
        <v>328</v>
      </c>
      <c r="C185" s="9" t="s">
        <v>125</v>
      </c>
      <c r="D185" s="9"/>
      <c r="E185" s="5"/>
      <c r="F185" s="3">
        <v>0.54</v>
      </c>
      <c r="G185" s="3"/>
      <c r="H185" s="13">
        <v>0</v>
      </c>
      <c r="I185" s="29">
        <f t="shared" si="50"/>
        <v>0</v>
      </c>
      <c r="J185" s="30">
        <f t="shared" si="51"/>
        <v>0</v>
      </c>
      <c r="K185" s="93">
        <f t="shared" si="52"/>
        <v>0</v>
      </c>
      <c r="L185" s="93">
        <f t="shared" si="53"/>
        <v>0</v>
      </c>
      <c r="M185" s="93">
        <f t="shared" si="54"/>
        <v>0</v>
      </c>
      <c r="N185" s="64"/>
      <c r="O185" s="69"/>
      <c r="P185" s="62">
        <f t="shared" si="55"/>
        <v>0</v>
      </c>
      <c r="R185" s="218"/>
      <c r="S185" s="218"/>
      <c r="T185" s="218"/>
      <c r="U185" s="111"/>
      <c r="V185" s="108">
        <f t="shared" si="49"/>
        <v>0</v>
      </c>
      <c r="W185" s="79">
        <f t="shared" si="45"/>
        <v>0</v>
      </c>
      <c r="X185" s="86"/>
    </row>
    <row r="186" spans="1:24" ht="14.25" customHeight="1" x14ac:dyDescent="0.2">
      <c r="A186" s="711"/>
      <c r="B186" s="4" t="s">
        <v>331</v>
      </c>
      <c r="C186" s="9" t="s">
        <v>125</v>
      </c>
      <c r="D186" s="41"/>
      <c r="E186" s="36"/>
      <c r="F186" s="34"/>
      <c r="G186" s="34"/>
      <c r="H186" s="37"/>
      <c r="I186" s="38"/>
      <c r="J186" s="39"/>
      <c r="K186" s="94">
        <f t="shared" si="52"/>
        <v>0</v>
      </c>
      <c r="L186" s="94">
        <f t="shared" si="53"/>
        <v>0</v>
      </c>
      <c r="M186" s="94">
        <f t="shared" si="54"/>
        <v>0</v>
      </c>
      <c r="N186" s="64"/>
      <c r="O186" s="69"/>
      <c r="P186" s="62">
        <f t="shared" si="55"/>
        <v>0</v>
      </c>
      <c r="R186" s="218"/>
      <c r="S186" s="218"/>
      <c r="T186" s="218"/>
      <c r="U186" s="111"/>
      <c r="V186" s="108">
        <f t="shared" si="49"/>
        <v>0</v>
      </c>
      <c r="W186" s="79">
        <f>U186-V186</f>
        <v>0</v>
      </c>
      <c r="X186" s="86"/>
    </row>
    <row r="187" spans="1:24" ht="15.75" customHeight="1" x14ac:dyDescent="0.2">
      <c r="A187" s="711"/>
      <c r="B187" s="4" t="s">
        <v>330</v>
      </c>
      <c r="C187" s="9" t="s">
        <v>126</v>
      </c>
      <c r="D187" s="9"/>
      <c r="E187" s="5"/>
      <c r="F187" s="3">
        <v>0.114</v>
      </c>
      <c r="G187" s="3"/>
      <c r="H187" s="13">
        <v>0</v>
      </c>
      <c r="I187" s="29">
        <f>H187*E187</f>
        <v>0</v>
      </c>
      <c r="J187" s="30">
        <f>F187*H187</f>
        <v>0</v>
      </c>
      <c r="K187" s="93">
        <f t="shared" si="52"/>
        <v>0</v>
      </c>
      <c r="L187" s="93">
        <f t="shared" si="53"/>
        <v>0</v>
      </c>
      <c r="M187" s="93">
        <f t="shared" si="54"/>
        <v>0</v>
      </c>
      <c r="N187" s="64"/>
      <c r="O187" s="69"/>
      <c r="P187" s="62">
        <f t="shared" si="55"/>
        <v>0</v>
      </c>
      <c r="R187" s="218"/>
      <c r="S187" s="218"/>
      <c r="T187" s="218"/>
      <c r="U187" s="111"/>
      <c r="V187" s="108">
        <f t="shared" si="49"/>
        <v>0</v>
      </c>
      <c r="W187" s="79">
        <f>U187-V187</f>
        <v>0</v>
      </c>
      <c r="X187" s="86"/>
    </row>
    <row r="188" spans="1:24" ht="15.75" customHeight="1" x14ac:dyDescent="0.2">
      <c r="A188" s="711"/>
      <c r="B188" s="4" t="s">
        <v>329</v>
      </c>
      <c r="C188" s="9" t="s">
        <v>127</v>
      </c>
      <c r="D188" s="9"/>
      <c r="E188" s="5"/>
      <c r="F188" s="3">
        <v>0.09</v>
      </c>
      <c r="G188" s="3"/>
      <c r="H188" s="13">
        <v>0</v>
      </c>
      <c r="I188" s="29">
        <f>H188*E188</f>
        <v>0</v>
      </c>
      <c r="J188" s="30">
        <f>F188*H188</f>
        <v>0</v>
      </c>
      <c r="K188" s="93">
        <f t="shared" si="52"/>
        <v>0</v>
      </c>
      <c r="L188" s="93">
        <f t="shared" si="53"/>
        <v>0</v>
      </c>
      <c r="M188" s="93">
        <f t="shared" si="54"/>
        <v>0</v>
      </c>
      <c r="N188" s="64"/>
      <c r="O188" s="69"/>
      <c r="P188" s="62">
        <f t="shared" si="55"/>
        <v>0</v>
      </c>
      <c r="R188" s="218"/>
      <c r="S188" s="218"/>
      <c r="T188" s="218"/>
      <c r="U188" s="111"/>
      <c r="V188" s="108">
        <f t="shared" si="49"/>
        <v>0</v>
      </c>
      <c r="W188" s="79">
        <f>U188-V188</f>
        <v>0</v>
      </c>
      <c r="X188" s="86"/>
    </row>
    <row r="189" spans="1:24" ht="18" customHeight="1" x14ac:dyDescent="0.2">
      <c r="A189" s="711"/>
      <c r="B189" s="120" t="s">
        <v>364</v>
      </c>
      <c r="C189" s="41" t="s">
        <v>344</v>
      </c>
      <c r="D189" s="41"/>
      <c r="E189" s="36"/>
      <c r="F189" s="34"/>
      <c r="G189" s="34"/>
      <c r="H189" s="37"/>
      <c r="I189" s="38"/>
      <c r="J189" s="39"/>
      <c r="K189" s="94">
        <f t="shared" si="52"/>
        <v>0</v>
      </c>
      <c r="L189" s="94">
        <f t="shared" si="53"/>
        <v>0</v>
      </c>
      <c r="M189" s="94">
        <f t="shared" si="54"/>
        <v>0</v>
      </c>
      <c r="N189" s="64"/>
      <c r="O189" s="69"/>
      <c r="P189" s="62">
        <f t="shared" si="55"/>
        <v>0</v>
      </c>
      <c r="R189" s="218"/>
      <c r="S189" s="218"/>
      <c r="T189" s="218"/>
      <c r="U189" s="111"/>
      <c r="V189" s="108">
        <f t="shared" si="49"/>
        <v>0</v>
      </c>
      <c r="W189" s="79">
        <f>U189-V189</f>
        <v>0</v>
      </c>
      <c r="X189" s="86"/>
    </row>
    <row r="190" spans="1:24" ht="17.25" customHeight="1" x14ac:dyDescent="0.2">
      <c r="A190" s="711"/>
      <c r="B190" s="4" t="s">
        <v>300</v>
      </c>
      <c r="C190" s="9" t="s">
        <v>128</v>
      </c>
      <c r="D190" s="9"/>
      <c r="E190" s="5"/>
      <c r="F190" s="3">
        <v>0.114</v>
      </c>
      <c r="G190" s="3"/>
      <c r="H190" s="13">
        <v>0</v>
      </c>
      <c r="I190" s="29">
        <f>H190*E190</f>
        <v>0</v>
      </c>
      <c r="J190" s="30">
        <f>F190*H190</f>
        <v>0</v>
      </c>
      <c r="K190" s="95">
        <f t="shared" si="52"/>
        <v>0</v>
      </c>
      <c r="L190" s="95">
        <f t="shared" si="53"/>
        <v>0</v>
      </c>
      <c r="M190" s="95">
        <f t="shared" si="54"/>
        <v>0</v>
      </c>
      <c r="N190" s="68"/>
      <c r="O190" s="69"/>
      <c r="P190" s="62">
        <f t="shared" si="55"/>
        <v>0</v>
      </c>
      <c r="R190" s="218"/>
      <c r="S190" s="218"/>
      <c r="T190" s="218"/>
      <c r="U190" s="111"/>
      <c r="V190" s="108">
        <f t="shared" si="49"/>
        <v>0</v>
      </c>
      <c r="W190" s="79">
        <f>U190-V190</f>
        <v>0</v>
      </c>
      <c r="X190" s="86"/>
    </row>
    <row r="192" spans="1:24" x14ac:dyDescent="0.25">
      <c r="B192" s="15" t="s">
        <v>299</v>
      </c>
    </row>
    <row r="193" spans="2:22" x14ac:dyDescent="0.25">
      <c r="B193" s="11" t="s">
        <v>217</v>
      </c>
      <c r="C193"/>
      <c r="D193"/>
      <c r="E193"/>
      <c r="F193"/>
      <c r="G193"/>
      <c r="H193" s="18"/>
      <c r="I193" s="18" t="s">
        <v>335</v>
      </c>
      <c r="J193" s="18"/>
      <c r="K193" s="97"/>
      <c r="L193" s="97"/>
      <c r="M193" s="97"/>
      <c r="N193" s="18"/>
      <c r="O193" s="18"/>
      <c r="P193" s="18" t="s">
        <v>335</v>
      </c>
      <c r="Q193" s="103"/>
      <c r="R193" s="97"/>
      <c r="S193" s="97"/>
      <c r="T193" s="97"/>
      <c r="U193" s="113"/>
      <c r="V193" s="18"/>
    </row>
    <row r="194" spans="2:22" x14ac:dyDescent="0.25">
      <c r="B194" s="11" t="s">
        <v>200</v>
      </c>
      <c r="C194"/>
      <c r="D194"/>
      <c r="E194"/>
      <c r="F194"/>
      <c r="G194"/>
      <c r="H194" s="18"/>
      <c r="I194" s="18" t="s">
        <v>164</v>
      </c>
      <c r="J194" s="18"/>
      <c r="K194" s="97"/>
      <c r="L194" s="97"/>
      <c r="M194" s="97"/>
      <c r="N194" s="18"/>
      <c r="O194" s="18"/>
      <c r="P194" s="18" t="s">
        <v>164</v>
      </c>
      <c r="Q194" s="103"/>
      <c r="R194" s="97"/>
      <c r="S194" s="97"/>
      <c r="T194" s="97"/>
      <c r="U194" s="113"/>
      <c r="V194" s="18"/>
    </row>
    <row r="195" spans="2:22" x14ac:dyDescent="0.25">
      <c r="B195" s="11" t="s">
        <v>199</v>
      </c>
      <c r="C195"/>
      <c r="D195"/>
      <c r="E195"/>
      <c r="F195"/>
      <c r="G195"/>
      <c r="H195" s="18"/>
      <c r="I195" s="15" t="s">
        <v>148</v>
      </c>
      <c r="J195" s="18"/>
      <c r="K195" s="97"/>
      <c r="L195" s="97"/>
      <c r="M195" s="97"/>
      <c r="N195" s="18"/>
      <c r="O195" s="18"/>
      <c r="P195" s="15" t="s">
        <v>148</v>
      </c>
      <c r="Q195" s="104"/>
      <c r="U195" s="113"/>
      <c r="V195" s="18"/>
    </row>
    <row r="196" spans="2:22" x14ac:dyDescent="0.25">
      <c r="B196" s="11" t="s">
        <v>201</v>
      </c>
      <c r="C196"/>
      <c r="D196"/>
      <c r="E196"/>
      <c r="F196"/>
      <c r="G196"/>
      <c r="H196" s="18"/>
      <c r="I196" s="18" t="s">
        <v>436</v>
      </c>
      <c r="J196" s="18"/>
      <c r="K196" s="97"/>
      <c r="L196" s="97"/>
      <c r="M196" s="97"/>
      <c r="N196" s="18"/>
      <c r="O196" s="18"/>
      <c r="P196" s="18" t="s">
        <v>436</v>
      </c>
      <c r="Q196" s="103"/>
      <c r="R196" s="97"/>
      <c r="S196" s="97"/>
      <c r="T196" s="97"/>
      <c r="U196" s="113"/>
      <c r="V196" s="18"/>
    </row>
    <row r="197" spans="2:22" x14ac:dyDescent="0.25">
      <c r="B197" s="11" t="s">
        <v>202</v>
      </c>
      <c r="C197"/>
      <c r="D197"/>
      <c r="E197"/>
      <c r="F197"/>
      <c r="G197"/>
      <c r="H197" s="18"/>
      <c r="I197" s="18" t="s">
        <v>297</v>
      </c>
      <c r="J197" s="18"/>
      <c r="K197" s="97"/>
      <c r="L197" s="97"/>
      <c r="M197" s="97"/>
      <c r="N197" s="18"/>
      <c r="O197" s="18"/>
      <c r="P197" s="18" t="s">
        <v>297</v>
      </c>
      <c r="Q197" s="103"/>
      <c r="R197" s="97"/>
      <c r="S197" s="97"/>
      <c r="T197" s="97"/>
      <c r="U197" s="113"/>
      <c r="V197" s="18"/>
    </row>
    <row r="198" spans="2:22" x14ac:dyDescent="0.25">
      <c r="B198" s="11" t="s">
        <v>203</v>
      </c>
      <c r="C198"/>
      <c r="D198"/>
      <c r="E198"/>
      <c r="F198"/>
      <c r="G198"/>
      <c r="H198" s="19"/>
      <c r="I198" s="15" t="s">
        <v>183</v>
      </c>
      <c r="J198" s="19"/>
      <c r="K198" s="98"/>
      <c r="L198" s="98"/>
      <c r="M198" s="98"/>
      <c r="N198" s="19"/>
      <c r="O198" s="19"/>
      <c r="P198" s="15" t="s">
        <v>183</v>
      </c>
      <c r="Q198" s="104"/>
      <c r="U198" s="114"/>
      <c r="V198" s="19"/>
    </row>
    <row r="199" spans="2:22" x14ac:dyDescent="0.25">
      <c r="B199" s="15" t="s">
        <v>205</v>
      </c>
      <c r="C199"/>
      <c r="D199"/>
      <c r="E199"/>
      <c r="F199"/>
      <c r="G199"/>
      <c r="H199" s="19"/>
      <c r="I199" s="15" t="s">
        <v>182</v>
      </c>
      <c r="J199" s="19"/>
      <c r="K199" s="98"/>
      <c r="L199" s="98"/>
      <c r="M199" s="98"/>
      <c r="N199" s="19"/>
      <c r="O199" s="19"/>
      <c r="P199" s="15" t="s">
        <v>182</v>
      </c>
      <c r="Q199" s="104"/>
      <c r="U199" s="114"/>
      <c r="V199" s="19"/>
    </row>
    <row r="200" spans="2:22" x14ac:dyDescent="0.25">
      <c r="B200" s="15" t="s">
        <v>204</v>
      </c>
      <c r="C200"/>
      <c r="D200"/>
      <c r="E200"/>
      <c r="F200"/>
      <c r="G200"/>
      <c r="H200" s="19"/>
      <c r="I200" s="15" t="s">
        <v>437</v>
      </c>
      <c r="J200" s="19"/>
      <c r="K200" s="98"/>
      <c r="L200" s="98"/>
      <c r="M200" s="98"/>
      <c r="N200" s="19"/>
      <c r="O200" s="19"/>
      <c r="P200" s="15" t="s">
        <v>437</v>
      </c>
      <c r="Q200" s="104"/>
      <c r="U200" s="114"/>
      <c r="V200" s="19"/>
    </row>
    <row r="201" spans="2:22" x14ac:dyDescent="0.25">
      <c r="B201" s="11" t="s">
        <v>518</v>
      </c>
      <c r="C201"/>
      <c r="D201"/>
      <c r="E201"/>
      <c r="F201"/>
      <c r="G201"/>
    </row>
    <row r="202" spans="2:22" x14ac:dyDescent="0.25">
      <c r="B202" s="11" t="s">
        <v>519</v>
      </c>
      <c r="C202"/>
      <c r="D202"/>
      <c r="E202"/>
      <c r="F202"/>
      <c r="G202"/>
    </row>
    <row r="203" spans="2:22" x14ac:dyDescent="0.25">
      <c r="B203" s="15" t="s">
        <v>183</v>
      </c>
      <c r="C203"/>
      <c r="D203"/>
      <c r="E203"/>
      <c r="F203"/>
      <c r="G203"/>
    </row>
    <row r="204" spans="2:22" x14ac:dyDescent="0.25">
      <c r="B204" s="15" t="s">
        <v>182</v>
      </c>
      <c r="C204"/>
      <c r="D204"/>
      <c r="E204"/>
      <c r="F204"/>
      <c r="G204"/>
    </row>
    <row r="205" spans="2:22" x14ac:dyDescent="0.25">
      <c r="B205" s="15" t="s">
        <v>206</v>
      </c>
      <c r="C205"/>
      <c r="D205"/>
      <c r="E205"/>
      <c r="F205"/>
      <c r="G205"/>
    </row>
    <row r="206" spans="2:22" x14ac:dyDescent="0.25">
      <c r="B206" s="15" t="s">
        <v>207</v>
      </c>
      <c r="C206"/>
      <c r="D206"/>
      <c r="E206"/>
      <c r="F206"/>
      <c r="G206"/>
    </row>
  </sheetData>
  <mergeCells count="30">
    <mergeCell ref="A21:A25"/>
    <mergeCell ref="A1:O1"/>
    <mergeCell ref="A4:A6"/>
    <mergeCell ref="A8:A10"/>
    <mergeCell ref="A11:A17"/>
    <mergeCell ref="A18:A20"/>
    <mergeCell ref="A104:A105"/>
    <mergeCell ref="A26:A28"/>
    <mergeCell ref="A30:A51"/>
    <mergeCell ref="A52:A61"/>
    <mergeCell ref="A62:A76"/>
    <mergeCell ref="A77:A79"/>
    <mergeCell ref="A80:A84"/>
    <mergeCell ref="A85:A86"/>
    <mergeCell ref="A87:A91"/>
    <mergeCell ref="A92:A94"/>
    <mergeCell ref="A95:A96"/>
    <mergeCell ref="A97:A103"/>
    <mergeCell ref="A170:A190"/>
    <mergeCell ref="A106:A110"/>
    <mergeCell ref="A111:A114"/>
    <mergeCell ref="A115:A118"/>
    <mergeCell ref="A119:A128"/>
    <mergeCell ref="A129:A132"/>
    <mergeCell ref="A133:A134"/>
    <mergeCell ref="A138:A141"/>
    <mergeCell ref="A135:A137"/>
    <mergeCell ref="A142:A163"/>
    <mergeCell ref="A164:A166"/>
    <mergeCell ref="A167:A168"/>
  </mergeCells>
  <pageMargins left="0.23622047244094491" right="0.23622047244094491" top="0.11811023622047245" bottom="0.11811023622047245" header="0.31496062992125984" footer="0.31496062992125984"/>
  <pageSetup paperSize="9" scale="82" fitToHeight="0" orientation="portrait" verticalDpi="0" r:id="rId1"/>
  <drawing r:id="rId2"/>
  <legacyDrawing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sqref="A1:F14"/>
    </sheetView>
  </sheetViews>
  <sheetFormatPr defaultRowHeight="12.75" x14ac:dyDescent="0.2"/>
  <sheetData>
    <row r="1" spans="1:1" x14ac:dyDescent="0.2">
      <c r="A1" s="11" t="s">
        <v>217</v>
      </c>
    </row>
    <row r="2" spans="1:1" x14ac:dyDescent="0.2">
      <c r="A2" s="11" t="s">
        <v>200</v>
      </c>
    </row>
    <row r="3" spans="1:1" x14ac:dyDescent="0.2">
      <c r="A3" s="11" t="s">
        <v>199</v>
      </c>
    </row>
    <row r="4" spans="1:1" x14ac:dyDescent="0.2">
      <c r="A4" s="11" t="s">
        <v>201</v>
      </c>
    </row>
    <row r="5" spans="1:1" x14ac:dyDescent="0.2">
      <c r="A5" s="11" t="s">
        <v>202</v>
      </c>
    </row>
    <row r="6" spans="1:1" x14ac:dyDescent="0.2">
      <c r="A6" s="11" t="s">
        <v>203</v>
      </c>
    </row>
    <row r="7" spans="1:1" x14ac:dyDescent="0.2">
      <c r="A7" s="15" t="s">
        <v>205</v>
      </c>
    </row>
    <row r="8" spans="1:1" x14ac:dyDescent="0.2">
      <c r="A8" s="15" t="s">
        <v>204</v>
      </c>
    </row>
    <row r="9" spans="1:1" x14ac:dyDescent="0.2">
      <c r="A9" s="10" t="s">
        <v>146</v>
      </c>
    </row>
    <row r="10" spans="1:1" x14ac:dyDescent="0.2">
      <c r="A10" s="10" t="s">
        <v>147</v>
      </c>
    </row>
    <row r="11" spans="1:1" x14ac:dyDescent="0.2">
      <c r="A11" s="15" t="s">
        <v>183</v>
      </c>
    </row>
    <row r="12" spans="1:1" x14ac:dyDescent="0.2">
      <c r="A12" s="15" t="s">
        <v>182</v>
      </c>
    </row>
    <row r="13" spans="1:1" x14ac:dyDescent="0.2">
      <c r="A13" s="15" t="s">
        <v>206</v>
      </c>
    </row>
    <row r="14" spans="1:1" x14ac:dyDescent="0.2">
      <c r="A14" s="15" t="s">
        <v>207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206"/>
  <sheetViews>
    <sheetView topLeftCell="A127" workbookViewId="0">
      <selection sqref="A1:Z206"/>
    </sheetView>
  </sheetViews>
  <sheetFormatPr defaultRowHeight="15.75" x14ac:dyDescent="0.25"/>
  <cols>
    <col min="1" max="1" width="13.85546875" style="53" customWidth="1"/>
    <col min="2" max="2" width="46.5703125" style="15" customWidth="1"/>
    <col min="3" max="3" width="13.5703125" style="19" customWidth="1"/>
    <col min="4" max="4" width="19.5703125" style="19" customWidth="1"/>
    <col min="5" max="5" width="5.42578125" style="15" hidden="1" customWidth="1"/>
    <col min="6" max="6" width="4.42578125" style="15" hidden="1" customWidth="1"/>
    <col min="7" max="7" width="4.85546875" style="15" hidden="1" customWidth="1"/>
    <col min="8" max="8" width="6.42578125" style="6" hidden="1" customWidth="1"/>
    <col min="9" max="9" width="5.85546875" style="20" hidden="1" customWidth="1"/>
    <col min="10" max="10" width="6.7109375" style="20" hidden="1" customWidth="1"/>
    <col min="11" max="12" width="10.140625" style="96" hidden="1" customWidth="1"/>
    <col min="13" max="13" width="9.140625" style="96" hidden="1" customWidth="1"/>
    <col min="14" max="14" width="10.5703125" style="58" hidden="1" customWidth="1"/>
    <col min="15" max="15" width="10.85546875" style="58" hidden="1" customWidth="1"/>
    <col min="16" max="16" width="11.42578125" style="58" hidden="1" customWidth="1"/>
    <col min="17" max="17" width="3.28515625" style="99" customWidth="1"/>
    <col min="18" max="20" width="11.42578125" style="109" customWidth="1"/>
    <col min="21" max="21" width="12" style="112" customWidth="1"/>
    <col min="22" max="22" width="10.7109375" style="15" hidden="1" customWidth="1"/>
    <col min="23" max="23" width="11.85546875" style="15" hidden="1" customWidth="1"/>
    <col min="24" max="24" width="9.140625" style="87" hidden="1" customWidth="1"/>
    <col min="25" max="26" width="9.140625" style="243"/>
    <col min="27" max="16384" width="9.140625" style="15"/>
  </cols>
  <sheetData>
    <row r="1" spans="1:26" ht="87" customHeight="1" x14ac:dyDescent="0.25">
      <c r="A1" s="712"/>
      <c r="B1" s="712"/>
      <c r="C1" s="712"/>
      <c r="D1" s="712"/>
      <c r="E1" s="712"/>
      <c r="F1" s="712"/>
      <c r="G1" s="712"/>
      <c r="H1" s="712"/>
      <c r="I1" s="712"/>
      <c r="J1" s="712"/>
      <c r="K1" s="712"/>
      <c r="L1" s="712"/>
      <c r="M1" s="712"/>
      <c r="N1" s="712"/>
      <c r="O1" s="712"/>
      <c r="Q1" s="62"/>
      <c r="U1" s="110"/>
      <c r="W1" s="15" t="s">
        <v>444</v>
      </c>
    </row>
    <row r="2" spans="1:26" ht="26.25" customHeight="1" x14ac:dyDescent="0.25">
      <c r="A2" s="53" t="s">
        <v>439</v>
      </c>
      <c r="B2" s="66" t="s">
        <v>538</v>
      </c>
      <c r="C2" s="57"/>
      <c r="D2" s="57"/>
      <c r="E2" s="57"/>
      <c r="F2" s="57"/>
      <c r="G2" s="57"/>
      <c r="H2" s="57"/>
      <c r="I2" s="57"/>
      <c r="J2" s="57"/>
      <c r="K2" s="91"/>
      <c r="L2" s="91"/>
      <c r="M2" s="91"/>
      <c r="N2" s="57"/>
      <c r="O2" s="57"/>
      <c r="Q2" s="62"/>
      <c r="R2" s="66"/>
      <c r="W2" s="15" t="s">
        <v>445</v>
      </c>
    </row>
    <row r="3" spans="1:26" ht="81" customHeight="1" x14ac:dyDescent="0.25">
      <c r="A3" s="54" t="s">
        <v>133</v>
      </c>
      <c r="B3" s="21" t="s">
        <v>16</v>
      </c>
      <c r="C3" s="17" t="s">
        <v>43</v>
      </c>
      <c r="D3" s="33" t="s">
        <v>298</v>
      </c>
      <c r="E3" s="22" t="s">
        <v>18</v>
      </c>
      <c r="F3" s="23" t="s">
        <v>19</v>
      </c>
      <c r="G3" s="23" t="s">
        <v>20</v>
      </c>
      <c r="H3" s="12" t="s">
        <v>17</v>
      </c>
      <c r="I3" s="24" t="s">
        <v>45</v>
      </c>
      <c r="J3" s="25" t="s">
        <v>46</v>
      </c>
      <c r="K3" s="92" t="s">
        <v>451</v>
      </c>
      <c r="L3" s="92" t="s">
        <v>452</v>
      </c>
      <c r="M3" s="92" t="s">
        <v>453</v>
      </c>
      <c r="N3" s="59" t="s">
        <v>454</v>
      </c>
      <c r="O3" s="59" t="s">
        <v>438</v>
      </c>
      <c r="P3" s="60" t="s">
        <v>368</v>
      </c>
      <c r="Q3" s="100" t="s">
        <v>455</v>
      </c>
      <c r="R3" s="225" t="s">
        <v>520</v>
      </c>
      <c r="S3" s="225" t="s">
        <v>523</v>
      </c>
      <c r="T3" s="226" t="s">
        <v>522</v>
      </c>
      <c r="U3" s="227" t="s">
        <v>521</v>
      </c>
      <c r="V3" s="74" t="s">
        <v>440</v>
      </c>
      <c r="W3" s="78" t="s">
        <v>441</v>
      </c>
      <c r="X3" s="88" t="s">
        <v>442</v>
      </c>
      <c r="Y3" s="248" t="s">
        <v>532</v>
      </c>
      <c r="Z3" s="248" t="s">
        <v>533</v>
      </c>
    </row>
    <row r="4" spans="1:26" s="26" customFormat="1" ht="12.75" hidden="1" x14ac:dyDescent="0.2">
      <c r="A4" s="713" t="s">
        <v>150</v>
      </c>
      <c r="B4" s="48" t="s">
        <v>21</v>
      </c>
      <c r="C4" s="49" t="s">
        <v>12</v>
      </c>
      <c r="D4" s="49"/>
      <c r="E4" s="5">
        <v>11</v>
      </c>
      <c r="F4" s="5">
        <v>0.09</v>
      </c>
      <c r="G4" s="5">
        <v>20</v>
      </c>
      <c r="H4" s="50">
        <v>0</v>
      </c>
      <c r="I4" s="5">
        <f>H4*E4</f>
        <v>0</v>
      </c>
      <c r="J4" s="51">
        <f>F4*H4</f>
        <v>0</v>
      </c>
      <c r="K4" s="93">
        <f t="shared" ref="K4:K67" si="0">N4*1.5</f>
        <v>3750</v>
      </c>
      <c r="L4" s="93">
        <f t="shared" ref="L4:L67" si="1">N4*1.1</f>
        <v>2750</v>
      </c>
      <c r="M4" s="93">
        <f t="shared" ref="M4:M67" si="2">N4*1.05</f>
        <v>2625</v>
      </c>
      <c r="N4" s="64">
        <v>2500</v>
      </c>
      <c r="O4" s="69"/>
      <c r="P4" s="130">
        <f t="shared" ref="P4:P67" si="3">N4-O4</f>
        <v>2500</v>
      </c>
      <c r="Q4" s="131"/>
      <c r="R4" s="218">
        <f t="shared" ref="R4:R67" si="4">U4*1.5</f>
        <v>4125</v>
      </c>
      <c r="S4" s="218">
        <f>U4*1.1</f>
        <v>3025.0000000000005</v>
      </c>
      <c r="T4" s="218">
        <f>U4*1.05</f>
        <v>2887.5</v>
      </c>
      <c r="U4" s="111">
        <f>N4*1.1</f>
        <v>2750</v>
      </c>
      <c r="V4" s="108"/>
      <c r="W4" s="79"/>
      <c r="X4" s="86"/>
      <c r="Y4" s="244">
        <f t="shared" ref="Y4:Y35" si="5">U4-Z4</f>
        <v>2750</v>
      </c>
      <c r="Z4" s="245"/>
    </row>
    <row r="5" spans="1:26" s="26" customFormat="1" ht="12.75" hidden="1" x14ac:dyDescent="0.2">
      <c r="A5" s="713"/>
      <c r="B5" s="48" t="s">
        <v>433</v>
      </c>
      <c r="C5" s="52" t="s">
        <v>92</v>
      </c>
      <c r="D5" s="65"/>
      <c r="E5" s="5"/>
      <c r="F5" s="5"/>
      <c r="G5" s="5"/>
      <c r="H5" s="13"/>
      <c r="I5" s="29"/>
      <c r="J5" s="63"/>
      <c r="K5" s="93">
        <f t="shared" si="0"/>
        <v>10500</v>
      </c>
      <c r="L5" s="93">
        <f t="shared" si="1"/>
        <v>7700.0000000000009</v>
      </c>
      <c r="M5" s="93">
        <f t="shared" si="2"/>
        <v>7350</v>
      </c>
      <c r="N5" s="64">
        <v>7000</v>
      </c>
      <c r="O5" s="69"/>
      <c r="P5" s="132">
        <f>N5-O5</f>
        <v>7000</v>
      </c>
      <c r="Q5" s="133"/>
      <c r="R5" s="218">
        <f t="shared" si="4"/>
        <v>11550.000000000002</v>
      </c>
      <c r="S5" s="218">
        <f t="shared" ref="S5:S68" si="6">U5*1.1</f>
        <v>8470.0000000000018</v>
      </c>
      <c r="T5" s="218">
        <f t="shared" ref="T5:T68" si="7">U5*1.05</f>
        <v>8085.0000000000009</v>
      </c>
      <c r="U5" s="111">
        <f>N5*1.1</f>
        <v>7700.0000000000009</v>
      </c>
      <c r="V5" s="108"/>
      <c r="W5" s="79"/>
      <c r="X5" s="86"/>
      <c r="Y5" s="244">
        <f t="shared" si="5"/>
        <v>7700.0000000000009</v>
      </c>
      <c r="Z5" s="245"/>
    </row>
    <row r="6" spans="1:26" ht="13.5" hidden="1" thickBot="1" x14ac:dyDescent="0.25">
      <c r="A6" s="720"/>
      <c r="B6" s="134" t="s">
        <v>434</v>
      </c>
      <c r="C6" s="135" t="s">
        <v>435</v>
      </c>
      <c r="D6" s="135"/>
      <c r="E6" s="136"/>
      <c r="F6" s="136">
        <v>0.17</v>
      </c>
      <c r="G6" s="136"/>
      <c r="H6" s="137">
        <v>0</v>
      </c>
      <c r="I6" s="136">
        <f t="shared" ref="I6:I20" si="8">H6*E6</f>
        <v>0</v>
      </c>
      <c r="J6" s="138">
        <f t="shared" ref="J6:J20" si="9">F6*H6</f>
        <v>0</v>
      </c>
      <c r="K6" s="139">
        <f t="shared" si="0"/>
        <v>7350</v>
      </c>
      <c r="L6" s="139">
        <f t="shared" si="1"/>
        <v>5390</v>
      </c>
      <c r="M6" s="139">
        <f t="shared" si="2"/>
        <v>5145</v>
      </c>
      <c r="N6" s="140">
        <v>4900</v>
      </c>
      <c r="O6" s="141"/>
      <c r="P6" s="142">
        <f t="shared" si="3"/>
        <v>4900</v>
      </c>
      <c r="Q6" s="143"/>
      <c r="R6" s="219">
        <f t="shared" si="4"/>
        <v>8085</v>
      </c>
      <c r="S6" s="219">
        <f t="shared" si="6"/>
        <v>5929.0000000000009</v>
      </c>
      <c r="T6" s="219">
        <f t="shared" si="7"/>
        <v>5659.5</v>
      </c>
      <c r="U6" s="144">
        <f>N6*1.1</f>
        <v>5390</v>
      </c>
      <c r="V6" s="108"/>
      <c r="W6" s="79"/>
      <c r="X6" s="86"/>
      <c r="Y6" s="244">
        <f t="shared" si="5"/>
        <v>5390</v>
      </c>
      <c r="Z6" s="245"/>
    </row>
    <row r="7" spans="1:26" ht="17.25" hidden="1" thickTop="1" thickBot="1" x14ac:dyDescent="0.3">
      <c r="A7" s="146" t="s">
        <v>151</v>
      </c>
      <c r="B7" s="147" t="s">
        <v>22</v>
      </c>
      <c r="C7" s="148" t="s">
        <v>166</v>
      </c>
      <c r="D7" s="148"/>
      <c r="E7" s="149">
        <v>0</v>
      </c>
      <c r="F7" s="150">
        <v>0</v>
      </c>
      <c r="G7" s="150" t="s">
        <v>23</v>
      </c>
      <c r="H7" s="151">
        <v>0</v>
      </c>
      <c r="I7" s="152">
        <f t="shared" si="8"/>
        <v>0</v>
      </c>
      <c r="J7" s="153">
        <f t="shared" si="9"/>
        <v>0</v>
      </c>
      <c r="K7" s="154">
        <f t="shared" si="0"/>
        <v>720</v>
      </c>
      <c r="L7" s="154">
        <f t="shared" si="1"/>
        <v>528</v>
      </c>
      <c r="M7" s="154">
        <f t="shared" si="2"/>
        <v>504</v>
      </c>
      <c r="N7" s="155">
        <v>480</v>
      </c>
      <c r="O7" s="156"/>
      <c r="P7" s="157">
        <f t="shared" si="3"/>
        <v>480</v>
      </c>
      <c r="Q7" s="158"/>
      <c r="R7" s="220">
        <f t="shared" si="4"/>
        <v>795</v>
      </c>
      <c r="S7" s="220">
        <f t="shared" si="6"/>
        <v>583</v>
      </c>
      <c r="T7" s="220">
        <f t="shared" si="7"/>
        <v>556.5</v>
      </c>
      <c r="U7" s="159">
        <v>530</v>
      </c>
      <c r="V7" s="108"/>
      <c r="W7" s="79"/>
      <c r="X7" s="86"/>
      <c r="Y7" s="244">
        <f t="shared" si="5"/>
        <v>530</v>
      </c>
      <c r="Z7" s="245"/>
    </row>
    <row r="8" spans="1:26" ht="13.5" hidden="1" thickTop="1" x14ac:dyDescent="0.2">
      <c r="A8" s="717" t="s">
        <v>136</v>
      </c>
      <c r="B8" s="160" t="s">
        <v>463</v>
      </c>
      <c r="C8" s="161" t="s">
        <v>355</v>
      </c>
      <c r="D8" s="161"/>
      <c r="E8" s="162">
        <v>15</v>
      </c>
      <c r="F8" s="163">
        <v>3.0000000000000001E-3</v>
      </c>
      <c r="G8" s="163">
        <v>10</v>
      </c>
      <c r="H8" s="164">
        <v>0</v>
      </c>
      <c r="I8" s="165">
        <f t="shared" si="8"/>
        <v>0</v>
      </c>
      <c r="J8" s="166">
        <f t="shared" si="9"/>
        <v>0</v>
      </c>
      <c r="K8" s="167">
        <f t="shared" si="0"/>
        <v>17340</v>
      </c>
      <c r="L8" s="167">
        <f t="shared" si="1"/>
        <v>12716.000000000002</v>
      </c>
      <c r="M8" s="167">
        <f t="shared" si="2"/>
        <v>12138</v>
      </c>
      <c r="N8" s="168">
        <v>11560</v>
      </c>
      <c r="O8" s="169"/>
      <c r="P8" s="170">
        <f t="shared" si="3"/>
        <v>11560</v>
      </c>
      <c r="Q8" s="171"/>
      <c r="R8" s="221">
        <f t="shared" si="4"/>
        <v>19080</v>
      </c>
      <c r="S8" s="221">
        <f t="shared" si="6"/>
        <v>13992.000000000002</v>
      </c>
      <c r="T8" s="221">
        <f t="shared" si="7"/>
        <v>13356</v>
      </c>
      <c r="U8" s="172">
        <v>12720</v>
      </c>
      <c r="V8" s="108"/>
      <c r="W8" s="79"/>
      <c r="X8" s="86"/>
      <c r="Y8" s="244">
        <f t="shared" si="5"/>
        <v>12720</v>
      </c>
      <c r="Z8" s="245"/>
    </row>
    <row r="9" spans="1:26" ht="12.75" hidden="1" x14ac:dyDescent="0.2">
      <c r="A9" s="710"/>
      <c r="B9" s="14" t="s">
        <v>464</v>
      </c>
      <c r="C9" s="7" t="s">
        <v>82</v>
      </c>
      <c r="D9" s="7"/>
      <c r="E9" s="5">
        <v>25.5</v>
      </c>
      <c r="F9" s="3">
        <v>0.2</v>
      </c>
      <c r="G9" s="3">
        <v>6</v>
      </c>
      <c r="H9" s="13">
        <v>0</v>
      </c>
      <c r="I9" s="29">
        <f t="shared" si="8"/>
        <v>0</v>
      </c>
      <c r="J9" s="30">
        <f t="shared" si="9"/>
        <v>0</v>
      </c>
      <c r="K9" s="93">
        <f t="shared" si="0"/>
        <v>13200</v>
      </c>
      <c r="L9" s="93">
        <f t="shared" si="1"/>
        <v>9680</v>
      </c>
      <c r="M9" s="93">
        <f t="shared" si="2"/>
        <v>9240</v>
      </c>
      <c r="N9" s="64">
        <v>8800</v>
      </c>
      <c r="O9" s="69"/>
      <c r="P9" s="132">
        <f t="shared" si="3"/>
        <v>8800</v>
      </c>
      <c r="Q9" s="133"/>
      <c r="R9" s="218">
        <f t="shared" si="4"/>
        <v>15180</v>
      </c>
      <c r="S9" s="218">
        <f t="shared" si="6"/>
        <v>11132</v>
      </c>
      <c r="T9" s="218">
        <f t="shared" si="7"/>
        <v>10626</v>
      </c>
      <c r="U9" s="111">
        <v>10120</v>
      </c>
      <c r="V9" s="108"/>
      <c r="W9" s="79"/>
      <c r="X9" s="86"/>
      <c r="Y9" s="244">
        <f t="shared" si="5"/>
        <v>10120</v>
      </c>
      <c r="Z9" s="245"/>
    </row>
    <row r="10" spans="1:26" ht="39" thickBot="1" x14ac:dyDescent="0.25">
      <c r="A10" s="718"/>
      <c r="B10" s="173" t="s">
        <v>465</v>
      </c>
      <c r="C10" s="174" t="s">
        <v>96</v>
      </c>
      <c r="D10" s="175" t="s">
        <v>535</v>
      </c>
      <c r="E10" s="176">
        <v>37.5</v>
      </c>
      <c r="F10" s="176">
        <v>0.25</v>
      </c>
      <c r="G10" s="177"/>
      <c r="H10" s="178">
        <v>0</v>
      </c>
      <c r="I10" s="179">
        <f t="shared" si="8"/>
        <v>0</v>
      </c>
      <c r="J10" s="180">
        <f t="shared" si="9"/>
        <v>0</v>
      </c>
      <c r="K10" s="139">
        <f t="shared" si="0"/>
        <v>24750</v>
      </c>
      <c r="L10" s="139">
        <f t="shared" si="1"/>
        <v>18150</v>
      </c>
      <c r="M10" s="139">
        <f t="shared" si="2"/>
        <v>17325</v>
      </c>
      <c r="N10" s="140">
        <v>16500</v>
      </c>
      <c r="O10" s="141">
        <v>12553.2</v>
      </c>
      <c r="P10" s="142">
        <f t="shared" si="3"/>
        <v>3946.7999999999993</v>
      </c>
      <c r="Q10" s="143"/>
      <c r="R10" s="219">
        <f t="shared" si="4"/>
        <v>28462.5</v>
      </c>
      <c r="S10" s="219">
        <f t="shared" si="6"/>
        <v>20872.5</v>
      </c>
      <c r="T10" s="219">
        <f t="shared" si="7"/>
        <v>19923.75</v>
      </c>
      <c r="U10" s="144">
        <v>18975</v>
      </c>
      <c r="V10" s="108">
        <f>O10*1.1</f>
        <v>13808.520000000002</v>
      </c>
      <c r="W10" s="79">
        <f>U10-V10</f>
        <v>5166.4799999999977</v>
      </c>
      <c r="X10" s="86">
        <v>4030</v>
      </c>
      <c r="Y10" s="244">
        <f t="shared" si="5"/>
        <v>13736</v>
      </c>
      <c r="Z10" s="245">
        <v>5239</v>
      </c>
    </row>
    <row r="11" spans="1:26" ht="13.5" hidden="1" thickTop="1" x14ac:dyDescent="0.2">
      <c r="A11" s="717" t="s">
        <v>135</v>
      </c>
      <c r="B11" s="160" t="s">
        <v>466</v>
      </c>
      <c r="C11" s="181" t="s">
        <v>81</v>
      </c>
      <c r="D11" s="181"/>
      <c r="E11" s="162">
        <v>32</v>
      </c>
      <c r="F11" s="163">
        <v>0.25</v>
      </c>
      <c r="G11" s="163">
        <v>6</v>
      </c>
      <c r="H11" s="164">
        <v>0</v>
      </c>
      <c r="I11" s="165">
        <f t="shared" si="8"/>
        <v>0</v>
      </c>
      <c r="J11" s="166">
        <f t="shared" si="9"/>
        <v>0</v>
      </c>
      <c r="K11" s="167">
        <f t="shared" si="0"/>
        <v>7650</v>
      </c>
      <c r="L11" s="167">
        <f t="shared" si="1"/>
        <v>5610</v>
      </c>
      <c r="M11" s="167">
        <f t="shared" si="2"/>
        <v>5355</v>
      </c>
      <c r="N11" s="168">
        <v>5100</v>
      </c>
      <c r="O11" s="169"/>
      <c r="P11" s="170">
        <f t="shared" si="3"/>
        <v>5100</v>
      </c>
      <c r="Q11" s="171"/>
      <c r="R11" s="221">
        <f t="shared" si="4"/>
        <v>8415</v>
      </c>
      <c r="S11" s="221">
        <f t="shared" si="6"/>
        <v>6171.0000000000009</v>
      </c>
      <c r="T11" s="221">
        <f t="shared" si="7"/>
        <v>5890.5</v>
      </c>
      <c r="U11" s="172">
        <f t="shared" ref="U11:U20" si="10">N11*1.1</f>
        <v>5610</v>
      </c>
      <c r="V11" s="108"/>
      <c r="W11" s="79"/>
      <c r="X11" s="86"/>
      <c r="Y11" s="244">
        <f t="shared" si="5"/>
        <v>5610</v>
      </c>
      <c r="Z11" s="245"/>
    </row>
    <row r="12" spans="1:26" ht="13.5" thickTop="1" x14ac:dyDescent="0.2">
      <c r="A12" s="710"/>
      <c r="B12" s="14" t="s">
        <v>467</v>
      </c>
      <c r="C12" s="7" t="s">
        <v>92</v>
      </c>
      <c r="D12" s="44" t="s">
        <v>281</v>
      </c>
      <c r="E12" s="5">
        <v>17.5</v>
      </c>
      <c r="F12" s="3">
        <v>0.16</v>
      </c>
      <c r="G12" s="3"/>
      <c r="H12" s="13">
        <v>0</v>
      </c>
      <c r="I12" s="29">
        <f t="shared" si="8"/>
        <v>0</v>
      </c>
      <c r="J12" s="30">
        <f t="shared" si="9"/>
        <v>0</v>
      </c>
      <c r="K12" s="93">
        <f t="shared" si="0"/>
        <v>8175</v>
      </c>
      <c r="L12" s="93">
        <f t="shared" si="1"/>
        <v>5995.0000000000009</v>
      </c>
      <c r="M12" s="93">
        <f t="shared" si="2"/>
        <v>5722.5</v>
      </c>
      <c r="N12" s="64">
        <v>5450</v>
      </c>
      <c r="O12" s="69">
        <v>2889.9</v>
      </c>
      <c r="P12" s="132">
        <f t="shared" si="3"/>
        <v>2560.1</v>
      </c>
      <c r="Q12" s="133"/>
      <c r="R12" s="218">
        <f t="shared" si="4"/>
        <v>8992.5000000000018</v>
      </c>
      <c r="S12" s="218">
        <f t="shared" si="6"/>
        <v>6594.5000000000018</v>
      </c>
      <c r="T12" s="218">
        <f t="shared" si="7"/>
        <v>6294.7500000000009</v>
      </c>
      <c r="U12" s="111">
        <f t="shared" si="10"/>
        <v>5995.0000000000009</v>
      </c>
      <c r="V12" s="108">
        <f t="shared" ref="V12:V17" si="11">O12*1.1</f>
        <v>3178.8900000000003</v>
      </c>
      <c r="W12" s="79">
        <f t="shared" ref="W12:W17" si="12">U12-V12</f>
        <v>2816.1100000000006</v>
      </c>
      <c r="X12" s="86">
        <v>2293</v>
      </c>
      <c r="Y12" s="244">
        <f t="shared" si="5"/>
        <v>3112.0000000000009</v>
      </c>
      <c r="Z12" s="245">
        <v>2883</v>
      </c>
    </row>
    <row r="13" spans="1:26" ht="12.75" x14ac:dyDescent="0.2">
      <c r="A13" s="710"/>
      <c r="B13" s="14" t="s">
        <v>468</v>
      </c>
      <c r="C13" s="7" t="s">
        <v>92</v>
      </c>
      <c r="D13" s="44" t="s">
        <v>281</v>
      </c>
      <c r="E13" s="5">
        <v>17.5</v>
      </c>
      <c r="F13" s="3">
        <v>0.16</v>
      </c>
      <c r="G13" s="3"/>
      <c r="H13" s="13">
        <v>0</v>
      </c>
      <c r="I13" s="29">
        <f t="shared" si="8"/>
        <v>0</v>
      </c>
      <c r="J13" s="30">
        <f t="shared" si="9"/>
        <v>0</v>
      </c>
      <c r="K13" s="93">
        <f t="shared" si="0"/>
        <v>8775</v>
      </c>
      <c r="L13" s="93">
        <f t="shared" si="1"/>
        <v>6435.0000000000009</v>
      </c>
      <c r="M13" s="93">
        <f t="shared" si="2"/>
        <v>6142.5</v>
      </c>
      <c r="N13" s="64">
        <v>5850</v>
      </c>
      <c r="O13" s="69">
        <v>3289.9</v>
      </c>
      <c r="P13" s="132">
        <f t="shared" si="3"/>
        <v>2560.1</v>
      </c>
      <c r="Q13" s="133"/>
      <c r="R13" s="218">
        <f t="shared" si="4"/>
        <v>9652.5000000000018</v>
      </c>
      <c r="S13" s="218">
        <f t="shared" si="6"/>
        <v>7078.5000000000018</v>
      </c>
      <c r="T13" s="218">
        <f t="shared" si="7"/>
        <v>6756.7500000000009</v>
      </c>
      <c r="U13" s="111">
        <f t="shared" si="10"/>
        <v>6435.0000000000009</v>
      </c>
      <c r="V13" s="108">
        <f t="shared" si="11"/>
        <v>3618.8900000000003</v>
      </c>
      <c r="W13" s="79">
        <f t="shared" si="12"/>
        <v>2816.1100000000006</v>
      </c>
      <c r="X13" s="86">
        <v>2293</v>
      </c>
      <c r="Y13" s="244">
        <f t="shared" si="5"/>
        <v>3552.0000000000009</v>
      </c>
      <c r="Z13" s="245">
        <v>2883</v>
      </c>
    </row>
    <row r="14" spans="1:26" ht="12.75" x14ac:dyDescent="0.2">
      <c r="A14" s="710"/>
      <c r="B14" s="14" t="s">
        <v>469</v>
      </c>
      <c r="C14" s="7" t="s">
        <v>94</v>
      </c>
      <c r="D14" s="44" t="s">
        <v>282</v>
      </c>
      <c r="E14" s="5">
        <v>19</v>
      </c>
      <c r="F14" s="3">
        <v>0.19</v>
      </c>
      <c r="G14" s="3"/>
      <c r="H14" s="13">
        <v>0</v>
      </c>
      <c r="I14" s="29">
        <f t="shared" si="8"/>
        <v>0</v>
      </c>
      <c r="J14" s="30">
        <f t="shared" si="9"/>
        <v>0</v>
      </c>
      <c r="K14" s="93">
        <f t="shared" si="0"/>
        <v>9150</v>
      </c>
      <c r="L14" s="93">
        <f t="shared" si="1"/>
        <v>6710.0000000000009</v>
      </c>
      <c r="M14" s="93">
        <f t="shared" si="2"/>
        <v>6405</v>
      </c>
      <c r="N14" s="64">
        <v>6100</v>
      </c>
      <c r="O14" s="69">
        <v>3030.1439999999998</v>
      </c>
      <c r="P14" s="132">
        <f t="shared" si="3"/>
        <v>3069.8560000000002</v>
      </c>
      <c r="Q14" s="133"/>
      <c r="R14" s="218">
        <f t="shared" si="4"/>
        <v>10065.000000000002</v>
      </c>
      <c r="S14" s="218">
        <f t="shared" si="6"/>
        <v>7381.0000000000018</v>
      </c>
      <c r="T14" s="218">
        <f t="shared" si="7"/>
        <v>7045.5000000000009</v>
      </c>
      <c r="U14" s="111">
        <f t="shared" si="10"/>
        <v>6710.0000000000009</v>
      </c>
      <c r="V14" s="108">
        <f t="shared" si="11"/>
        <v>3333.1583999999998</v>
      </c>
      <c r="W14" s="79">
        <f t="shared" si="12"/>
        <v>3376.8416000000011</v>
      </c>
      <c r="X14" s="86">
        <v>2736</v>
      </c>
      <c r="Y14" s="244">
        <f t="shared" si="5"/>
        <v>3270.0000000000009</v>
      </c>
      <c r="Z14" s="245">
        <v>3440</v>
      </c>
    </row>
    <row r="15" spans="1:26" ht="12.75" x14ac:dyDescent="0.2">
      <c r="A15" s="710"/>
      <c r="B15" s="14" t="s">
        <v>470</v>
      </c>
      <c r="C15" s="7" t="s">
        <v>94</v>
      </c>
      <c r="D15" s="44" t="s">
        <v>282</v>
      </c>
      <c r="E15" s="5">
        <v>19</v>
      </c>
      <c r="F15" s="3">
        <v>0.19</v>
      </c>
      <c r="G15" s="3"/>
      <c r="H15" s="13">
        <v>0</v>
      </c>
      <c r="I15" s="29">
        <f t="shared" si="8"/>
        <v>0</v>
      </c>
      <c r="J15" s="30">
        <f t="shared" si="9"/>
        <v>0</v>
      </c>
      <c r="K15" s="93">
        <f t="shared" si="0"/>
        <v>9750</v>
      </c>
      <c r="L15" s="93">
        <f t="shared" si="1"/>
        <v>7150.0000000000009</v>
      </c>
      <c r="M15" s="93">
        <f t="shared" si="2"/>
        <v>6825</v>
      </c>
      <c r="N15" s="64">
        <v>6500</v>
      </c>
      <c r="O15" s="69">
        <v>3430.1439999999998</v>
      </c>
      <c r="P15" s="132">
        <f t="shared" si="3"/>
        <v>3069.8560000000002</v>
      </c>
      <c r="Q15" s="133"/>
      <c r="R15" s="218">
        <f t="shared" si="4"/>
        <v>10725.000000000002</v>
      </c>
      <c r="S15" s="218">
        <f t="shared" si="6"/>
        <v>7865.0000000000018</v>
      </c>
      <c r="T15" s="218">
        <f t="shared" si="7"/>
        <v>7507.5000000000009</v>
      </c>
      <c r="U15" s="111">
        <f t="shared" si="10"/>
        <v>7150.0000000000009</v>
      </c>
      <c r="V15" s="108">
        <f t="shared" si="11"/>
        <v>3773.1584000000003</v>
      </c>
      <c r="W15" s="79">
        <f t="shared" si="12"/>
        <v>3376.8416000000007</v>
      </c>
      <c r="X15" s="86">
        <v>2736</v>
      </c>
      <c r="Y15" s="244">
        <f t="shared" si="5"/>
        <v>3710.0000000000009</v>
      </c>
      <c r="Z15" s="245">
        <v>3440</v>
      </c>
    </row>
    <row r="16" spans="1:26" ht="12.75" x14ac:dyDescent="0.2">
      <c r="A16" s="710"/>
      <c r="B16" s="14" t="s">
        <v>471</v>
      </c>
      <c r="C16" s="7" t="s">
        <v>95</v>
      </c>
      <c r="D16" s="44" t="s">
        <v>283</v>
      </c>
      <c r="E16" s="5">
        <v>21</v>
      </c>
      <c r="F16" s="3">
        <v>0.2</v>
      </c>
      <c r="G16" s="3"/>
      <c r="H16" s="13">
        <v>0</v>
      </c>
      <c r="I16" s="29">
        <f t="shared" si="8"/>
        <v>0</v>
      </c>
      <c r="J16" s="30">
        <f t="shared" si="9"/>
        <v>0</v>
      </c>
      <c r="K16" s="93">
        <f t="shared" si="0"/>
        <v>11250</v>
      </c>
      <c r="L16" s="93">
        <f t="shared" si="1"/>
        <v>8250</v>
      </c>
      <c r="M16" s="93">
        <f t="shared" si="2"/>
        <v>7875</v>
      </c>
      <c r="N16" s="64">
        <v>7500</v>
      </c>
      <c r="O16" s="69">
        <v>3556.7</v>
      </c>
      <c r="P16" s="132">
        <f t="shared" si="3"/>
        <v>3943.3</v>
      </c>
      <c r="Q16" s="133"/>
      <c r="R16" s="218">
        <f t="shared" si="4"/>
        <v>12375</v>
      </c>
      <c r="S16" s="218">
        <f t="shared" si="6"/>
        <v>9075</v>
      </c>
      <c r="T16" s="218">
        <f t="shared" si="7"/>
        <v>8662.5</v>
      </c>
      <c r="U16" s="111">
        <f t="shared" si="10"/>
        <v>8250</v>
      </c>
      <c r="V16" s="108">
        <f t="shared" si="11"/>
        <v>3912.37</v>
      </c>
      <c r="W16" s="79">
        <f t="shared" si="12"/>
        <v>4337.63</v>
      </c>
      <c r="X16" s="86">
        <v>3429</v>
      </c>
      <c r="Y16" s="244">
        <f t="shared" si="5"/>
        <v>3937</v>
      </c>
      <c r="Z16" s="245">
        <v>4313</v>
      </c>
    </row>
    <row r="17" spans="1:26" ht="13.5" thickBot="1" x14ac:dyDescent="0.25">
      <c r="A17" s="718"/>
      <c r="B17" s="173" t="s">
        <v>472</v>
      </c>
      <c r="C17" s="174" t="s">
        <v>95</v>
      </c>
      <c r="D17" s="175" t="s">
        <v>283</v>
      </c>
      <c r="E17" s="136">
        <v>21</v>
      </c>
      <c r="F17" s="176">
        <v>0.2</v>
      </c>
      <c r="G17" s="176"/>
      <c r="H17" s="178">
        <v>0</v>
      </c>
      <c r="I17" s="179">
        <f t="shared" si="8"/>
        <v>0</v>
      </c>
      <c r="J17" s="180">
        <f t="shared" si="9"/>
        <v>0</v>
      </c>
      <c r="K17" s="139">
        <f t="shared" si="0"/>
        <v>11850</v>
      </c>
      <c r="L17" s="139">
        <f t="shared" si="1"/>
        <v>8690</v>
      </c>
      <c r="M17" s="139">
        <f t="shared" si="2"/>
        <v>8295</v>
      </c>
      <c r="N17" s="140">
        <v>7900</v>
      </c>
      <c r="O17" s="141">
        <v>3956.7</v>
      </c>
      <c r="P17" s="142">
        <f t="shared" si="3"/>
        <v>3943.3</v>
      </c>
      <c r="Q17" s="143"/>
      <c r="R17" s="219">
        <f t="shared" si="4"/>
        <v>13035</v>
      </c>
      <c r="S17" s="219">
        <f t="shared" si="6"/>
        <v>9559</v>
      </c>
      <c r="T17" s="219">
        <f t="shared" si="7"/>
        <v>9124.5</v>
      </c>
      <c r="U17" s="144">
        <f t="shared" si="10"/>
        <v>8690</v>
      </c>
      <c r="V17" s="108">
        <f t="shared" si="11"/>
        <v>4352.37</v>
      </c>
      <c r="W17" s="79">
        <f t="shared" si="12"/>
        <v>4337.63</v>
      </c>
      <c r="X17" s="86">
        <v>3429</v>
      </c>
      <c r="Y17" s="244">
        <f t="shared" si="5"/>
        <v>4377</v>
      </c>
      <c r="Z17" s="245">
        <v>4313</v>
      </c>
    </row>
    <row r="18" spans="1:26" ht="13.5" hidden="1" thickTop="1" x14ac:dyDescent="0.2">
      <c r="A18" s="717" t="s">
        <v>149</v>
      </c>
      <c r="B18" s="160" t="s">
        <v>24</v>
      </c>
      <c r="C18" s="161" t="s">
        <v>6</v>
      </c>
      <c r="D18" s="161"/>
      <c r="E18" s="162">
        <v>12.5</v>
      </c>
      <c r="F18" s="163">
        <v>9.5000000000000001E-2</v>
      </c>
      <c r="G18" s="163">
        <v>10</v>
      </c>
      <c r="H18" s="164">
        <v>0</v>
      </c>
      <c r="I18" s="165">
        <f t="shared" si="8"/>
        <v>0</v>
      </c>
      <c r="J18" s="166">
        <f t="shared" si="9"/>
        <v>0</v>
      </c>
      <c r="K18" s="167">
        <f t="shared" si="0"/>
        <v>3525</v>
      </c>
      <c r="L18" s="167">
        <f t="shared" si="1"/>
        <v>2585</v>
      </c>
      <c r="M18" s="167">
        <f t="shared" si="2"/>
        <v>2467.5</v>
      </c>
      <c r="N18" s="168">
        <v>2350</v>
      </c>
      <c r="O18" s="169"/>
      <c r="P18" s="170">
        <f t="shared" si="3"/>
        <v>2350</v>
      </c>
      <c r="Q18" s="171"/>
      <c r="R18" s="221">
        <f t="shared" si="4"/>
        <v>3877.5</v>
      </c>
      <c r="S18" s="221">
        <f t="shared" si="6"/>
        <v>2843.5000000000005</v>
      </c>
      <c r="T18" s="221">
        <f t="shared" si="7"/>
        <v>2714.25</v>
      </c>
      <c r="U18" s="172">
        <f t="shared" si="10"/>
        <v>2585</v>
      </c>
      <c r="V18" s="108"/>
      <c r="W18" s="79"/>
      <c r="X18" s="86"/>
      <c r="Y18" s="244">
        <f t="shared" si="5"/>
        <v>2585</v>
      </c>
      <c r="Z18" s="245"/>
    </row>
    <row r="19" spans="1:26" ht="13.5" hidden="1" thickTop="1" x14ac:dyDescent="0.2">
      <c r="A19" s="710"/>
      <c r="B19" s="14" t="s">
        <v>25</v>
      </c>
      <c r="C19" s="8" t="s">
        <v>7</v>
      </c>
      <c r="D19" s="8"/>
      <c r="E19" s="5">
        <v>14.5</v>
      </c>
      <c r="F19" s="3">
        <v>0.09</v>
      </c>
      <c r="G19" s="3">
        <v>10</v>
      </c>
      <c r="H19" s="13">
        <v>0</v>
      </c>
      <c r="I19" s="29">
        <f t="shared" si="8"/>
        <v>0</v>
      </c>
      <c r="J19" s="30">
        <f t="shared" si="9"/>
        <v>0</v>
      </c>
      <c r="K19" s="93">
        <f t="shared" si="0"/>
        <v>3750</v>
      </c>
      <c r="L19" s="93">
        <f t="shared" si="1"/>
        <v>2750</v>
      </c>
      <c r="M19" s="93">
        <f t="shared" si="2"/>
        <v>2625</v>
      </c>
      <c r="N19" s="64">
        <v>2500</v>
      </c>
      <c r="O19" s="69"/>
      <c r="P19" s="132">
        <f t="shared" si="3"/>
        <v>2500</v>
      </c>
      <c r="Q19" s="133"/>
      <c r="R19" s="218">
        <f t="shared" si="4"/>
        <v>4125</v>
      </c>
      <c r="S19" s="218">
        <f t="shared" si="6"/>
        <v>3025.0000000000005</v>
      </c>
      <c r="T19" s="218">
        <f t="shared" si="7"/>
        <v>2887.5</v>
      </c>
      <c r="U19" s="111">
        <f t="shared" si="10"/>
        <v>2750</v>
      </c>
      <c r="V19" s="108"/>
      <c r="W19" s="79"/>
      <c r="X19" s="86"/>
      <c r="Y19" s="244">
        <f t="shared" si="5"/>
        <v>2750</v>
      </c>
      <c r="Z19" s="245"/>
    </row>
    <row r="20" spans="1:26" ht="14.25" hidden="1" thickTop="1" thickBot="1" x14ac:dyDescent="0.25">
      <c r="A20" s="718"/>
      <c r="B20" s="173" t="s">
        <v>26</v>
      </c>
      <c r="C20" s="182" t="s">
        <v>8</v>
      </c>
      <c r="D20" s="182"/>
      <c r="E20" s="136">
        <v>16</v>
      </c>
      <c r="F20" s="176">
        <v>0.12</v>
      </c>
      <c r="G20" s="176">
        <v>10</v>
      </c>
      <c r="H20" s="178">
        <v>0</v>
      </c>
      <c r="I20" s="179">
        <f t="shared" si="8"/>
        <v>0</v>
      </c>
      <c r="J20" s="180">
        <f t="shared" si="9"/>
        <v>0</v>
      </c>
      <c r="K20" s="139">
        <f t="shared" si="0"/>
        <v>4050</v>
      </c>
      <c r="L20" s="139">
        <f t="shared" si="1"/>
        <v>2970.0000000000005</v>
      </c>
      <c r="M20" s="139">
        <f t="shared" si="2"/>
        <v>2835</v>
      </c>
      <c r="N20" s="140">
        <v>2700</v>
      </c>
      <c r="O20" s="141"/>
      <c r="P20" s="142">
        <f t="shared" si="3"/>
        <v>2700</v>
      </c>
      <c r="Q20" s="143"/>
      <c r="R20" s="219">
        <f t="shared" si="4"/>
        <v>4455.0000000000009</v>
      </c>
      <c r="S20" s="219">
        <f t="shared" si="6"/>
        <v>3267.0000000000009</v>
      </c>
      <c r="T20" s="219">
        <f t="shared" si="7"/>
        <v>3118.5000000000005</v>
      </c>
      <c r="U20" s="144">
        <f t="shared" si="10"/>
        <v>2970.0000000000005</v>
      </c>
      <c r="V20" s="108"/>
      <c r="W20" s="79"/>
      <c r="X20" s="86"/>
      <c r="Y20" s="244">
        <f t="shared" si="5"/>
        <v>2970.0000000000005</v>
      </c>
      <c r="Z20" s="245"/>
    </row>
    <row r="21" spans="1:26" ht="12.75" hidden="1" customHeight="1" thickTop="1" x14ac:dyDescent="0.2">
      <c r="A21" s="724" t="s">
        <v>304</v>
      </c>
      <c r="B21" s="160" t="s">
        <v>473</v>
      </c>
      <c r="C21" s="183" t="s">
        <v>443</v>
      </c>
      <c r="D21" s="183"/>
      <c r="E21" s="184">
        <v>6</v>
      </c>
      <c r="F21" s="163">
        <v>9.5000000000000001E-2</v>
      </c>
      <c r="G21" s="185">
        <v>10</v>
      </c>
      <c r="H21" s="164">
        <v>0</v>
      </c>
      <c r="I21" s="186"/>
      <c r="J21" s="187"/>
      <c r="K21" s="188">
        <f t="shared" si="0"/>
        <v>2250</v>
      </c>
      <c r="L21" s="188">
        <f t="shared" si="1"/>
        <v>1650.0000000000002</v>
      </c>
      <c r="M21" s="188">
        <f t="shared" si="2"/>
        <v>1575</v>
      </c>
      <c r="N21" s="168">
        <v>1500</v>
      </c>
      <c r="O21" s="169"/>
      <c r="P21" s="170">
        <f t="shared" si="3"/>
        <v>1500</v>
      </c>
      <c r="Q21" s="171"/>
      <c r="R21" s="221">
        <f t="shared" si="4"/>
        <v>2625</v>
      </c>
      <c r="S21" s="221">
        <f t="shared" si="6"/>
        <v>1925.0000000000002</v>
      </c>
      <c r="T21" s="221">
        <f t="shared" si="7"/>
        <v>1837.5</v>
      </c>
      <c r="U21" s="172">
        <v>1750</v>
      </c>
      <c r="V21" s="108"/>
      <c r="W21" s="79"/>
      <c r="X21" s="86"/>
      <c r="Y21" s="244">
        <f t="shared" si="5"/>
        <v>1750</v>
      </c>
      <c r="Z21" s="245"/>
    </row>
    <row r="22" spans="1:26" ht="12.75" hidden="1" customHeight="1" x14ac:dyDescent="0.2">
      <c r="A22" s="715"/>
      <c r="B22" s="14" t="s">
        <v>474</v>
      </c>
      <c r="C22" s="35" t="s">
        <v>447</v>
      </c>
      <c r="D22" s="35"/>
      <c r="E22" s="36"/>
      <c r="F22" s="34"/>
      <c r="G22" s="34"/>
      <c r="H22" s="37"/>
      <c r="I22" s="38"/>
      <c r="J22" s="81"/>
      <c r="K22" s="94">
        <f t="shared" si="0"/>
        <v>6300</v>
      </c>
      <c r="L22" s="94">
        <f t="shared" si="1"/>
        <v>4620</v>
      </c>
      <c r="M22" s="94">
        <f t="shared" si="2"/>
        <v>4410</v>
      </c>
      <c r="N22" s="82">
        <v>4200</v>
      </c>
      <c r="O22" s="83"/>
      <c r="P22" s="189">
        <f>N22-O22</f>
        <v>4200</v>
      </c>
      <c r="Q22" s="190"/>
      <c r="R22" s="218">
        <f t="shared" si="4"/>
        <v>6930</v>
      </c>
      <c r="S22" s="218">
        <f t="shared" si="6"/>
        <v>5082</v>
      </c>
      <c r="T22" s="218">
        <f t="shared" si="7"/>
        <v>4851</v>
      </c>
      <c r="U22" s="111">
        <f>N22*1.1</f>
        <v>4620</v>
      </c>
      <c r="V22" s="108">
        <f>O22*1.1</f>
        <v>0</v>
      </c>
      <c r="W22" s="89">
        <f>U22-V22</f>
        <v>4620</v>
      </c>
      <c r="X22" s="90"/>
      <c r="Y22" s="244">
        <f t="shared" si="5"/>
        <v>4620</v>
      </c>
      <c r="Z22" s="245"/>
    </row>
    <row r="23" spans="1:26" ht="12.75" hidden="1" customHeight="1" x14ac:dyDescent="0.2">
      <c r="A23" s="715"/>
      <c r="B23" s="14" t="s">
        <v>475</v>
      </c>
      <c r="C23" s="35" t="s">
        <v>84</v>
      </c>
      <c r="D23" s="35"/>
      <c r="E23" s="36">
        <v>34</v>
      </c>
      <c r="F23" s="34">
        <v>0.2</v>
      </c>
      <c r="G23" s="34">
        <v>6</v>
      </c>
      <c r="H23" s="13">
        <v>0</v>
      </c>
      <c r="I23" s="29">
        <f>H23*E23</f>
        <v>0</v>
      </c>
      <c r="J23" s="30">
        <f>F23*H23</f>
        <v>0</v>
      </c>
      <c r="K23" s="93">
        <f t="shared" si="0"/>
        <v>9450</v>
      </c>
      <c r="L23" s="93">
        <f t="shared" si="1"/>
        <v>6930.0000000000009</v>
      </c>
      <c r="M23" s="93">
        <f t="shared" si="2"/>
        <v>6615</v>
      </c>
      <c r="N23" s="64">
        <v>6300</v>
      </c>
      <c r="O23" s="69"/>
      <c r="P23" s="132">
        <f t="shared" si="3"/>
        <v>6300</v>
      </c>
      <c r="Q23" s="133"/>
      <c r="R23" s="218">
        <f t="shared" si="4"/>
        <v>10395.000000000002</v>
      </c>
      <c r="S23" s="218">
        <f t="shared" si="6"/>
        <v>7623.0000000000018</v>
      </c>
      <c r="T23" s="218">
        <f t="shared" si="7"/>
        <v>7276.5000000000009</v>
      </c>
      <c r="U23" s="111">
        <f>N23*1.1</f>
        <v>6930.0000000000009</v>
      </c>
      <c r="V23" s="108"/>
      <c r="W23" s="79"/>
      <c r="X23" s="86"/>
      <c r="Y23" s="244">
        <f t="shared" si="5"/>
        <v>6930.0000000000009</v>
      </c>
      <c r="Z23" s="245"/>
    </row>
    <row r="24" spans="1:26" ht="12.75" customHeight="1" thickTop="1" x14ac:dyDescent="0.2">
      <c r="A24" s="715"/>
      <c r="B24" s="14" t="s">
        <v>476</v>
      </c>
      <c r="C24" s="7" t="s">
        <v>305</v>
      </c>
      <c r="D24" s="40" t="s">
        <v>534</v>
      </c>
      <c r="E24" s="36">
        <v>16.2</v>
      </c>
      <c r="F24" s="34">
        <v>0.2</v>
      </c>
      <c r="G24" s="34"/>
      <c r="H24" s="13">
        <v>0</v>
      </c>
      <c r="I24" s="29">
        <f t="shared" ref="I24:I87" si="13">H24*E24</f>
        <v>0</v>
      </c>
      <c r="J24" s="30">
        <f t="shared" ref="J24:J87" si="14">F24*H24</f>
        <v>0</v>
      </c>
      <c r="K24" s="93">
        <f t="shared" si="0"/>
        <v>7125</v>
      </c>
      <c r="L24" s="93">
        <f t="shared" si="1"/>
        <v>5225</v>
      </c>
      <c r="M24" s="93">
        <f t="shared" si="2"/>
        <v>4987.5</v>
      </c>
      <c r="N24" s="64">
        <v>4750</v>
      </c>
      <c r="O24" s="69">
        <v>3630</v>
      </c>
      <c r="P24" s="132">
        <f t="shared" si="3"/>
        <v>1120</v>
      </c>
      <c r="Q24" s="133"/>
      <c r="R24" s="218">
        <f t="shared" si="4"/>
        <v>8175</v>
      </c>
      <c r="S24" s="218">
        <f t="shared" si="6"/>
        <v>5995.0000000000009</v>
      </c>
      <c r="T24" s="218">
        <f t="shared" si="7"/>
        <v>5722.5</v>
      </c>
      <c r="U24" s="111">
        <v>5450</v>
      </c>
      <c r="V24" s="108">
        <f>O24*1.1</f>
        <v>3993.0000000000005</v>
      </c>
      <c r="W24" s="79">
        <f>U24-V24</f>
        <v>1456.9999999999995</v>
      </c>
      <c r="X24" s="86">
        <v>725</v>
      </c>
      <c r="Y24" s="244">
        <f t="shared" si="5"/>
        <v>4413</v>
      </c>
      <c r="Z24" s="245">
        <v>1037</v>
      </c>
    </row>
    <row r="25" spans="1:26" ht="15.75" customHeight="1" thickBot="1" x14ac:dyDescent="0.25">
      <c r="A25" s="725"/>
      <c r="B25" s="173" t="s">
        <v>477</v>
      </c>
      <c r="C25" s="174" t="s">
        <v>449</v>
      </c>
      <c r="D25" s="191" t="s">
        <v>450</v>
      </c>
      <c r="E25" s="192"/>
      <c r="F25" s="177"/>
      <c r="G25" s="177"/>
      <c r="H25" s="193"/>
      <c r="I25" s="194"/>
      <c r="J25" s="195"/>
      <c r="K25" s="196">
        <f t="shared" si="0"/>
        <v>14250</v>
      </c>
      <c r="L25" s="196">
        <f t="shared" si="1"/>
        <v>10450</v>
      </c>
      <c r="M25" s="196">
        <f t="shared" si="2"/>
        <v>9975</v>
      </c>
      <c r="N25" s="197">
        <v>9500</v>
      </c>
      <c r="O25" s="198"/>
      <c r="P25" s="199">
        <f>N25-O25</f>
        <v>9500</v>
      </c>
      <c r="Q25" s="200"/>
      <c r="R25" s="219">
        <f t="shared" si="4"/>
        <v>15675</v>
      </c>
      <c r="S25" s="219">
        <f t="shared" si="6"/>
        <v>11495.000000000002</v>
      </c>
      <c r="T25" s="219">
        <f t="shared" si="7"/>
        <v>10972.5</v>
      </c>
      <c r="U25" s="144">
        <f>N25*1.1</f>
        <v>10450</v>
      </c>
      <c r="V25" s="108">
        <f>O25*1.1</f>
        <v>0</v>
      </c>
      <c r="W25" s="89">
        <f>U25-V25</f>
        <v>10450</v>
      </c>
      <c r="X25" s="90"/>
      <c r="Y25" s="244">
        <f t="shared" si="5"/>
        <v>8170</v>
      </c>
      <c r="Z25" s="245">
        <v>2280</v>
      </c>
    </row>
    <row r="26" spans="1:26" ht="13.5" hidden="1" thickTop="1" x14ac:dyDescent="0.2">
      <c r="A26" s="717" t="s">
        <v>134</v>
      </c>
      <c r="B26" s="160" t="s">
        <v>42</v>
      </c>
      <c r="C26" s="181" t="s">
        <v>61</v>
      </c>
      <c r="D26" s="181"/>
      <c r="E26" s="162">
        <v>7</v>
      </c>
      <c r="F26" s="163"/>
      <c r="G26" s="163"/>
      <c r="H26" s="164">
        <v>0</v>
      </c>
      <c r="I26" s="165">
        <f t="shared" si="13"/>
        <v>0</v>
      </c>
      <c r="J26" s="166">
        <f t="shared" si="14"/>
        <v>0</v>
      </c>
      <c r="K26" s="167">
        <f t="shared" si="0"/>
        <v>2775</v>
      </c>
      <c r="L26" s="167">
        <f t="shared" si="1"/>
        <v>2035.0000000000002</v>
      </c>
      <c r="M26" s="167">
        <f t="shared" si="2"/>
        <v>1942.5</v>
      </c>
      <c r="N26" s="168">
        <v>1850</v>
      </c>
      <c r="O26" s="169"/>
      <c r="P26" s="170">
        <f t="shared" si="3"/>
        <v>1850</v>
      </c>
      <c r="Q26" s="171"/>
      <c r="R26" s="221">
        <f t="shared" si="4"/>
        <v>3202.5</v>
      </c>
      <c r="S26" s="221">
        <f t="shared" si="6"/>
        <v>2348.5</v>
      </c>
      <c r="T26" s="221">
        <f t="shared" si="7"/>
        <v>2241.75</v>
      </c>
      <c r="U26" s="172">
        <v>2135</v>
      </c>
      <c r="V26" s="108"/>
      <c r="W26" s="79"/>
      <c r="X26" s="86"/>
      <c r="Y26" s="244">
        <f t="shared" si="5"/>
        <v>2135</v>
      </c>
      <c r="Z26" s="245"/>
    </row>
    <row r="27" spans="1:26" ht="13.5" hidden="1" thickTop="1" x14ac:dyDescent="0.2">
      <c r="A27" s="710"/>
      <c r="B27" s="14" t="s">
        <v>393</v>
      </c>
      <c r="C27" s="7" t="s">
        <v>80</v>
      </c>
      <c r="D27" s="7"/>
      <c r="E27" s="5">
        <v>32</v>
      </c>
      <c r="F27" s="3">
        <v>0.23</v>
      </c>
      <c r="G27" s="3">
        <v>6</v>
      </c>
      <c r="H27" s="13">
        <v>0</v>
      </c>
      <c r="I27" s="29">
        <f t="shared" si="13"/>
        <v>0</v>
      </c>
      <c r="J27" s="30">
        <f t="shared" si="14"/>
        <v>0</v>
      </c>
      <c r="K27" s="93">
        <f t="shared" si="0"/>
        <v>8775</v>
      </c>
      <c r="L27" s="93">
        <f t="shared" si="1"/>
        <v>6435.0000000000009</v>
      </c>
      <c r="M27" s="93">
        <f t="shared" si="2"/>
        <v>6142.5</v>
      </c>
      <c r="N27" s="64">
        <v>5850</v>
      </c>
      <c r="O27" s="69"/>
      <c r="P27" s="132">
        <f t="shared" si="3"/>
        <v>5850</v>
      </c>
      <c r="Q27" s="133"/>
      <c r="R27" s="218">
        <f t="shared" si="4"/>
        <v>10125</v>
      </c>
      <c r="S27" s="218">
        <f t="shared" si="6"/>
        <v>7425.0000000000009</v>
      </c>
      <c r="T27" s="218">
        <f t="shared" si="7"/>
        <v>7087.5</v>
      </c>
      <c r="U27" s="111">
        <v>6750</v>
      </c>
      <c r="V27" s="108"/>
      <c r="W27" s="79"/>
      <c r="X27" s="86"/>
      <c r="Y27" s="244">
        <f t="shared" si="5"/>
        <v>6750</v>
      </c>
      <c r="Z27" s="245"/>
    </row>
    <row r="28" spans="1:26" ht="15" customHeight="1" thickTop="1" thickBot="1" x14ac:dyDescent="0.25">
      <c r="A28" s="718"/>
      <c r="B28" s="173" t="s">
        <v>341</v>
      </c>
      <c r="C28" s="174" t="s">
        <v>93</v>
      </c>
      <c r="D28" s="175" t="s">
        <v>280</v>
      </c>
      <c r="E28" s="136">
        <v>34.5</v>
      </c>
      <c r="F28" s="176">
        <v>0.2</v>
      </c>
      <c r="G28" s="176"/>
      <c r="H28" s="178">
        <v>0</v>
      </c>
      <c r="I28" s="179">
        <f t="shared" si="13"/>
        <v>0</v>
      </c>
      <c r="J28" s="180">
        <f t="shared" si="14"/>
        <v>0</v>
      </c>
      <c r="K28" s="139">
        <f t="shared" si="0"/>
        <v>11775</v>
      </c>
      <c r="L28" s="139">
        <f t="shared" si="1"/>
        <v>8635</v>
      </c>
      <c r="M28" s="139">
        <f t="shared" si="2"/>
        <v>8242.5</v>
      </c>
      <c r="N28" s="140">
        <v>7850</v>
      </c>
      <c r="O28" s="141">
        <v>5940</v>
      </c>
      <c r="P28" s="142">
        <f t="shared" si="3"/>
        <v>1910</v>
      </c>
      <c r="Q28" s="143"/>
      <c r="R28" s="219">
        <f t="shared" si="4"/>
        <v>13545</v>
      </c>
      <c r="S28" s="219">
        <f t="shared" si="6"/>
        <v>9933</v>
      </c>
      <c r="T28" s="219">
        <f t="shared" si="7"/>
        <v>9481.5</v>
      </c>
      <c r="U28" s="144">
        <v>9030</v>
      </c>
      <c r="V28" s="108">
        <f>O28*1.1</f>
        <v>6534.0000000000009</v>
      </c>
      <c r="W28" s="79">
        <f>U28-V28</f>
        <v>2495.9999999999991</v>
      </c>
      <c r="X28" s="86">
        <v>2076</v>
      </c>
      <c r="Y28" s="244">
        <f t="shared" si="5"/>
        <v>7132</v>
      </c>
      <c r="Z28" s="245">
        <v>1898</v>
      </c>
    </row>
    <row r="29" spans="1:26" ht="17.25" hidden="1" thickTop="1" thickBot="1" x14ac:dyDescent="0.3">
      <c r="A29" s="146" t="s">
        <v>152</v>
      </c>
      <c r="B29" s="147" t="s">
        <v>27</v>
      </c>
      <c r="C29" s="148" t="s">
        <v>166</v>
      </c>
      <c r="D29" s="148"/>
      <c r="E29" s="149">
        <v>0</v>
      </c>
      <c r="F29" s="150">
        <v>0</v>
      </c>
      <c r="G29" s="150" t="s">
        <v>23</v>
      </c>
      <c r="H29" s="151">
        <v>0</v>
      </c>
      <c r="I29" s="152">
        <f t="shared" si="13"/>
        <v>0</v>
      </c>
      <c r="J29" s="153">
        <f t="shared" si="14"/>
        <v>0</v>
      </c>
      <c r="K29" s="154">
        <f t="shared" si="0"/>
        <v>720</v>
      </c>
      <c r="L29" s="154">
        <f t="shared" si="1"/>
        <v>528</v>
      </c>
      <c r="M29" s="154">
        <f t="shared" si="2"/>
        <v>504</v>
      </c>
      <c r="N29" s="155">
        <v>480</v>
      </c>
      <c r="O29" s="156"/>
      <c r="P29" s="157">
        <f t="shared" si="3"/>
        <v>480</v>
      </c>
      <c r="Q29" s="158"/>
      <c r="R29" s="220">
        <f t="shared" si="4"/>
        <v>795</v>
      </c>
      <c r="S29" s="220">
        <f t="shared" si="6"/>
        <v>583</v>
      </c>
      <c r="T29" s="220">
        <f t="shared" si="7"/>
        <v>556.5</v>
      </c>
      <c r="U29" s="159">
        <v>530</v>
      </c>
      <c r="V29" s="108"/>
      <c r="W29" s="79"/>
      <c r="X29" s="86"/>
      <c r="Y29" s="244">
        <f t="shared" si="5"/>
        <v>530</v>
      </c>
      <c r="Z29" s="245"/>
    </row>
    <row r="30" spans="1:26" ht="13.5" hidden="1" thickTop="1" x14ac:dyDescent="0.2">
      <c r="A30" s="717" t="s">
        <v>137</v>
      </c>
      <c r="B30" s="160" t="s">
        <v>177</v>
      </c>
      <c r="C30" s="161" t="s">
        <v>1</v>
      </c>
      <c r="D30" s="161"/>
      <c r="E30" s="162">
        <v>6</v>
      </c>
      <c r="F30" s="163">
        <v>7.0000000000000007E-2</v>
      </c>
      <c r="G30" s="163">
        <v>10</v>
      </c>
      <c r="H30" s="164">
        <v>0</v>
      </c>
      <c r="I30" s="165">
        <f t="shared" si="13"/>
        <v>0</v>
      </c>
      <c r="J30" s="166">
        <f t="shared" si="14"/>
        <v>0</v>
      </c>
      <c r="K30" s="167">
        <f t="shared" si="0"/>
        <v>3750</v>
      </c>
      <c r="L30" s="167">
        <f t="shared" si="1"/>
        <v>2750</v>
      </c>
      <c r="M30" s="167">
        <f t="shared" si="2"/>
        <v>2625</v>
      </c>
      <c r="N30" s="168">
        <v>2500</v>
      </c>
      <c r="O30" s="169"/>
      <c r="P30" s="170">
        <f t="shared" si="3"/>
        <v>2500</v>
      </c>
      <c r="Q30" s="171"/>
      <c r="R30" s="221">
        <f t="shared" si="4"/>
        <v>4125</v>
      </c>
      <c r="S30" s="221">
        <f t="shared" si="6"/>
        <v>3025.0000000000005</v>
      </c>
      <c r="T30" s="221">
        <f t="shared" si="7"/>
        <v>2887.5</v>
      </c>
      <c r="U30" s="129">
        <f>N30*1.1</f>
        <v>2750</v>
      </c>
      <c r="V30" s="108"/>
      <c r="W30" s="79"/>
      <c r="X30" s="86"/>
      <c r="Y30" s="244">
        <f t="shared" si="5"/>
        <v>2750</v>
      </c>
      <c r="Z30" s="245"/>
    </row>
    <row r="31" spans="1:26" ht="13.5" hidden="1" thickTop="1" x14ac:dyDescent="0.2">
      <c r="A31" s="710"/>
      <c r="B31" s="14" t="s">
        <v>171</v>
      </c>
      <c r="C31" s="8" t="s">
        <v>1</v>
      </c>
      <c r="D31" s="8"/>
      <c r="E31" s="5">
        <v>6</v>
      </c>
      <c r="F31" s="3">
        <v>7.0000000000000007E-2</v>
      </c>
      <c r="G31" s="3">
        <v>10</v>
      </c>
      <c r="H31" s="13">
        <v>0</v>
      </c>
      <c r="I31" s="29">
        <f t="shared" si="13"/>
        <v>0</v>
      </c>
      <c r="J31" s="30">
        <f t="shared" si="14"/>
        <v>0</v>
      </c>
      <c r="K31" s="93">
        <f t="shared" si="0"/>
        <v>4312.5</v>
      </c>
      <c r="L31" s="93">
        <f t="shared" si="1"/>
        <v>3162.5000000000005</v>
      </c>
      <c r="M31" s="93">
        <f t="shared" si="2"/>
        <v>3018.75</v>
      </c>
      <c r="N31" s="64">
        <v>2875</v>
      </c>
      <c r="O31" s="69"/>
      <c r="P31" s="132">
        <f t="shared" si="3"/>
        <v>2875</v>
      </c>
      <c r="Q31" s="133"/>
      <c r="R31" s="218">
        <f t="shared" si="4"/>
        <v>4950</v>
      </c>
      <c r="S31" s="218">
        <f t="shared" si="6"/>
        <v>3630.0000000000005</v>
      </c>
      <c r="T31" s="218">
        <f t="shared" si="7"/>
        <v>3465</v>
      </c>
      <c r="U31" s="111">
        <v>3300</v>
      </c>
      <c r="V31" s="108"/>
      <c r="W31" s="79"/>
      <c r="X31" s="86"/>
      <c r="Y31" s="244">
        <f t="shared" si="5"/>
        <v>3300</v>
      </c>
      <c r="Z31" s="245"/>
    </row>
    <row r="32" spans="1:26" ht="13.5" hidden="1" thickTop="1" x14ac:dyDescent="0.2">
      <c r="A32" s="710"/>
      <c r="B32" s="14" t="s">
        <v>175</v>
      </c>
      <c r="C32" s="8" t="s">
        <v>2</v>
      </c>
      <c r="D32" s="8"/>
      <c r="E32" s="5">
        <v>7</v>
      </c>
      <c r="F32" s="3">
        <v>7.0000000000000007E-2</v>
      </c>
      <c r="G32" s="3">
        <v>10</v>
      </c>
      <c r="H32" s="13">
        <v>0</v>
      </c>
      <c r="I32" s="29">
        <f t="shared" si="13"/>
        <v>0</v>
      </c>
      <c r="J32" s="30">
        <f t="shared" si="14"/>
        <v>0</v>
      </c>
      <c r="K32" s="93">
        <f t="shared" si="0"/>
        <v>4275</v>
      </c>
      <c r="L32" s="93">
        <f t="shared" si="1"/>
        <v>3135.0000000000005</v>
      </c>
      <c r="M32" s="93">
        <f t="shared" si="2"/>
        <v>2992.5</v>
      </c>
      <c r="N32" s="64">
        <v>2850</v>
      </c>
      <c r="O32" s="69"/>
      <c r="P32" s="132">
        <f t="shared" si="3"/>
        <v>2850</v>
      </c>
      <c r="Q32" s="133"/>
      <c r="R32" s="218">
        <f t="shared" si="4"/>
        <v>4702.5000000000009</v>
      </c>
      <c r="S32" s="218">
        <f t="shared" si="6"/>
        <v>3448.5000000000009</v>
      </c>
      <c r="T32" s="218">
        <f t="shared" si="7"/>
        <v>3291.7500000000005</v>
      </c>
      <c r="U32" s="111">
        <f>N32*1.1</f>
        <v>3135.0000000000005</v>
      </c>
      <c r="V32" s="108"/>
      <c r="W32" s="79"/>
      <c r="X32" s="86"/>
      <c r="Y32" s="244">
        <f t="shared" si="5"/>
        <v>3135.0000000000005</v>
      </c>
      <c r="Z32" s="245"/>
    </row>
    <row r="33" spans="1:26" ht="13.5" hidden="1" thickTop="1" x14ac:dyDescent="0.2">
      <c r="A33" s="710"/>
      <c r="B33" s="14" t="s">
        <v>172</v>
      </c>
      <c r="C33" s="8" t="s">
        <v>2</v>
      </c>
      <c r="D33" s="8"/>
      <c r="E33" s="5">
        <v>7</v>
      </c>
      <c r="F33" s="3">
        <v>7.0000000000000007E-2</v>
      </c>
      <c r="G33" s="3">
        <v>10</v>
      </c>
      <c r="H33" s="13">
        <v>0</v>
      </c>
      <c r="I33" s="29">
        <f t="shared" si="13"/>
        <v>0</v>
      </c>
      <c r="J33" s="30">
        <f t="shared" si="14"/>
        <v>0</v>
      </c>
      <c r="K33" s="93">
        <f t="shared" si="0"/>
        <v>4920</v>
      </c>
      <c r="L33" s="93">
        <f t="shared" si="1"/>
        <v>3608.0000000000005</v>
      </c>
      <c r="M33" s="93">
        <f t="shared" si="2"/>
        <v>3444</v>
      </c>
      <c r="N33" s="64">
        <v>3280</v>
      </c>
      <c r="O33" s="69"/>
      <c r="P33" s="132">
        <f t="shared" si="3"/>
        <v>3280</v>
      </c>
      <c r="Q33" s="133"/>
      <c r="R33" s="218">
        <f t="shared" si="4"/>
        <v>5670</v>
      </c>
      <c r="S33" s="218">
        <f t="shared" si="6"/>
        <v>4158</v>
      </c>
      <c r="T33" s="218">
        <f t="shared" si="7"/>
        <v>3969</v>
      </c>
      <c r="U33" s="111">
        <v>3780</v>
      </c>
      <c r="V33" s="108"/>
      <c r="W33" s="79"/>
      <c r="X33" s="86"/>
      <c r="Y33" s="244">
        <f t="shared" si="5"/>
        <v>3780</v>
      </c>
      <c r="Z33" s="245"/>
    </row>
    <row r="34" spans="1:26" ht="13.5" hidden="1" thickTop="1" x14ac:dyDescent="0.2">
      <c r="A34" s="710"/>
      <c r="B34" s="14" t="s">
        <v>176</v>
      </c>
      <c r="C34" s="8" t="s">
        <v>3</v>
      </c>
      <c r="D34" s="8"/>
      <c r="E34" s="5">
        <v>12</v>
      </c>
      <c r="F34" s="3">
        <v>0.09</v>
      </c>
      <c r="G34" s="3">
        <v>10</v>
      </c>
      <c r="H34" s="13">
        <v>0</v>
      </c>
      <c r="I34" s="29">
        <f t="shared" si="13"/>
        <v>0</v>
      </c>
      <c r="J34" s="30">
        <f t="shared" si="14"/>
        <v>0</v>
      </c>
      <c r="K34" s="93">
        <f t="shared" si="0"/>
        <v>5025</v>
      </c>
      <c r="L34" s="93">
        <f t="shared" si="1"/>
        <v>3685.0000000000005</v>
      </c>
      <c r="M34" s="93">
        <f t="shared" si="2"/>
        <v>3517.5</v>
      </c>
      <c r="N34" s="64">
        <v>3350</v>
      </c>
      <c r="O34" s="69"/>
      <c r="P34" s="132">
        <f t="shared" si="3"/>
        <v>3350</v>
      </c>
      <c r="Q34" s="133"/>
      <c r="R34" s="218">
        <f t="shared" si="4"/>
        <v>5527.5000000000009</v>
      </c>
      <c r="S34" s="218">
        <f t="shared" si="6"/>
        <v>4053.5000000000009</v>
      </c>
      <c r="T34" s="218">
        <f t="shared" si="7"/>
        <v>3869.2500000000005</v>
      </c>
      <c r="U34" s="111">
        <f>N34*1.1</f>
        <v>3685.0000000000005</v>
      </c>
      <c r="V34" s="108"/>
      <c r="W34" s="79"/>
      <c r="X34" s="86"/>
      <c r="Y34" s="244">
        <f t="shared" si="5"/>
        <v>3685.0000000000005</v>
      </c>
      <c r="Z34" s="245"/>
    </row>
    <row r="35" spans="1:26" ht="13.5" hidden="1" thickTop="1" x14ac:dyDescent="0.2">
      <c r="A35" s="710"/>
      <c r="B35" s="14" t="s">
        <v>173</v>
      </c>
      <c r="C35" s="8" t="s">
        <v>3</v>
      </c>
      <c r="D35" s="8"/>
      <c r="E35" s="5">
        <v>12</v>
      </c>
      <c r="F35" s="3">
        <v>0.09</v>
      </c>
      <c r="G35" s="3">
        <v>10</v>
      </c>
      <c r="H35" s="13">
        <v>0</v>
      </c>
      <c r="I35" s="29">
        <f t="shared" si="13"/>
        <v>0</v>
      </c>
      <c r="J35" s="30">
        <f t="shared" si="14"/>
        <v>0</v>
      </c>
      <c r="K35" s="93">
        <f t="shared" si="0"/>
        <v>5782.5</v>
      </c>
      <c r="L35" s="93">
        <f t="shared" si="1"/>
        <v>4240.5</v>
      </c>
      <c r="M35" s="93">
        <f t="shared" si="2"/>
        <v>4047.75</v>
      </c>
      <c r="N35" s="64">
        <v>3855</v>
      </c>
      <c r="O35" s="69"/>
      <c r="P35" s="132">
        <f t="shared" si="3"/>
        <v>3855</v>
      </c>
      <c r="Q35" s="133"/>
      <c r="R35" s="218">
        <f t="shared" si="4"/>
        <v>6652.5</v>
      </c>
      <c r="S35" s="218">
        <f t="shared" si="6"/>
        <v>4878.5</v>
      </c>
      <c r="T35" s="218">
        <f t="shared" si="7"/>
        <v>4656.75</v>
      </c>
      <c r="U35" s="111">
        <v>4435</v>
      </c>
      <c r="V35" s="108"/>
      <c r="W35" s="79"/>
      <c r="X35" s="86"/>
      <c r="Y35" s="244">
        <f t="shared" si="5"/>
        <v>4435</v>
      </c>
      <c r="Z35" s="245"/>
    </row>
    <row r="36" spans="1:26" ht="13.5" hidden="1" thickTop="1" x14ac:dyDescent="0.2">
      <c r="A36" s="710"/>
      <c r="B36" s="14" t="s">
        <v>168</v>
      </c>
      <c r="C36" s="8" t="s">
        <v>4</v>
      </c>
      <c r="D36" s="8"/>
      <c r="E36" s="5">
        <v>13</v>
      </c>
      <c r="F36" s="3">
        <v>0.14000000000000001</v>
      </c>
      <c r="G36" s="3">
        <v>10</v>
      </c>
      <c r="H36" s="13">
        <v>0</v>
      </c>
      <c r="I36" s="29">
        <f t="shared" si="13"/>
        <v>0</v>
      </c>
      <c r="J36" s="30">
        <f t="shared" si="14"/>
        <v>0</v>
      </c>
      <c r="K36" s="93">
        <f t="shared" si="0"/>
        <v>6900</v>
      </c>
      <c r="L36" s="93">
        <f t="shared" si="1"/>
        <v>5060</v>
      </c>
      <c r="M36" s="93">
        <f t="shared" si="2"/>
        <v>4830</v>
      </c>
      <c r="N36" s="64">
        <v>4600</v>
      </c>
      <c r="O36" s="69"/>
      <c r="P36" s="132">
        <f t="shared" si="3"/>
        <v>4600</v>
      </c>
      <c r="Q36" s="133"/>
      <c r="R36" s="218">
        <f t="shared" si="4"/>
        <v>7590</v>
      </c>
      <c r="S36" s="218">
        <f t="shared" si="6"/>
        <v>5566</v>
      </c>
      <c r="T36" s="218">
        <f t="shared" si="7"/>
        <v>5313</v>
      </c>
      <c r="U36" s="111">
        <f>N36*1.1</f>
        <v>5060</v>
      </c>
      <c r="V36" s="108"/>
      <c r="W36" s="79"/>
      <c r="X36" s="86"/>
      <c r="Y36" s="244">
        <f t="shared" ref="Y36:Y67" si="15">U36-Z36</f>
        <v>5060</v>
      </c>
      <c r="Z36" s="245"/>
    </row>
    <row r="37" spans="1:26" ht="13.5" hidden="1" thickTop="1" x14ac:dyDescent="0.2">
      <c r="A37" s="710"/>
      <c r="B37" s="14" t="s">
        <v>169</v>
      </c>
      <c r="C37" s="8" t="s">
        <v>4</v>
      </c>
      <c r="D37" s="8"/>
      <c r="E37" s="5">
        <v>13</v>
      </c>
      <c r="F37" s="3">
        <v>0.14000000000000001</v>
      </c>
      <c r="G37" s="3">
        <v>10</v>
      </c>
      <c r="H37" s="13">
        <v>0</v>
      </c>
      <c r="I37" s="29">
        <f t="shared" si="13"/>
        <v>0</v>
      </c>
      <c r="J37" s="30">
        <f t="shared" si="14"/>
        <v>0</v>
      </c>
      <c r="K37" s="93">
        <f t="shared" si="0"/>
        <v>7935</v>
      </c>
      <c r="L37" s="93">
        <f t="shared" si="1"/>
        <v>5819.0000000000009</v>
      </c>
      <c r="M37" s="93">
        <f t="shared" si="2"/>
        <v>5554.5</v>
      </c>
      <c r="N37" s="64">
        <v>5290</v>
      </c>
      <c r="O37" s="69"/>
      <c r="P37" s="132">
        <f t="shared" si="3"/>
        <v>5290</v>
      </c>
      <c r="Q37" s="133"/>
      <c r="R37" s="218">
        <f t="shared" si="4"/>
        <v>9127.5</v>
      </c>
      <c r="S37" s="218">
        <f t="shared" si="6"/>
        <v>6693.5000000000009</v>
      </c>
      <c r="T37" s="218">
        <f t="shared" si="7"/>
        <v>6389.25</v>
      </c>
      <c r="U37" s="111">
        <v>6085</v>
      </c>
      <c r="V37" s="108"/>
      <c r="W37" s="79"/>
      <c r="X37" s="86"/>
      <c r="Y37" s="244">
        <f t="shared" si="15"/>
        <v>6085</v>
      </c>
      <c r="Z37" s="245"/>
    </row>
    <row r="38" spans="1:26" ht="13.5" hidden="1" thickTop="1" x14ac:dyDescent="0.2">
      <c r="A38" s="710"/>
      <c r="B38" s="14" t="s">
        <v>174</v>
      </c>
      <c r="C38" s="8" t="s">
        <v>5</v>
      </c>
      <c r="D38" s="8"/>
      <c r="E38" s="5">
        <v>16</v>
      </c>
      <c r="F38" s="3">
        <v>0.17</v>
      </c>
      <c r="G38" s="3">
        <v>10</v>
      </c>
      <c r="H38" s="13">
        <v>0</v>
      </c>
      <c r="I38" s="29">
        <f t="shared" si="13"/>
        <v>0</v>
      </c>
      <c r="J38" s="30">
        <f t="shared" si="14"/>
        <v>0</v>
      </c>
      <c r="K38" s="93">
        <f t="shared" si="0"/>
        <v>7500</v>
      </c>
      <c r="L38" s="93">
        <f t="shared" si="1"/>
        <v>5500</v>
      </c>
      <c r="M38" s="93">
        <f t="shared" si="2"/>
        <v>5250</v>
      </c>
      <c r="N38" s="64">
        <v>5000</v>
      </c>
      <c r="O38" s="69"/>
      <c r="P38" s="132">
        <f t="shared" si="3"/>
        <v>5000</v>
      </c>
      <c r="Q38" s="133"/>
      <c r="R38" s="218">
        <f t="shared" si="4"/>
        <v>8250</v>
      </c>
      <c r="S38" s="218">
        <f t="shared" si="6"/>
        <v>6050.0000000000009</v>
      </c>
      <c r="T38" s="218">
        <f t="shared" si="7"/>
        <v>5775</v>
      </c>
      <c r="U38" s="111">
        <f>N38*1.1</f>
        <v>5500</v>
      </c>
      <c r="V38" s="108"/>
      <c r="W38" s="79"/>
      <c r="X38" s="86"/>
      <c r="Y38" s="244">
        <f t="shared" si="15"/>
        <v>5500</v>
      </c>
      <c r="Z38" s="245"/>
    </row>
    <row r="39" spans="1:26" ht="13.5" hidden="1" thickTop="1" x14ac:dyDescent="0.2">
      <c r="A39" s="710"/>
      <c r="B39" s="14" t="s">
        <v>170</v>
      </c>
      <c r="C39" s="8" t="s">
        <v>5</v>
      </c>
      <c r="D39" s="8"/>
      <c r="E39" s="5">
        <v>16</v>
      </c>
      <c r="F39" s="3">
        <v>0.17</v>
      </c>
      <c r="G39" s="3">
        <v>10</v>
      </c>
      <c r="H39" s="13">
        <v>0</v>
      </c>
      <c r="I39" s="29">
        <f t="shared" si="13"/>
        <v>0</v>
      </c>
      <c r="J39" s="30">
        <f t="shared" si="14"/>
        <v>0</v>
      </c>
      <c r="K39" s="93">
        <f t="shared" si="0"/>
        <v>8625</v>
      </c>
      <c r="L39" s="93">
        <f t="shared" si="1"/>
        <v>6325.0000000000009</v>
      </c>
      <c r="M39" s="93">
        <f t="shared" si="2"/>
        <v>6037.5</v>
      </c>
      <c r="N39" s="64">
        <v>5750</v>
      </c>
      <c r="O39" s="69"/>
      <c r="P39" s="132">
        <f t="shared" si="3"/>
        <v>5750</v>
      </c>
      <c r="Q39" s="133"/>
      <c r="R39" s="218">
        <f t="shared" si="4"/>
        <v>9922.5</v>
      </c>
      <c r="S39" s="218">
        <f t="shared" si="6"/>
        <v>7276.5000000000009</v>
      </c>
      <c r="T39" s="218">
        <f t="shared" si="7"/>
        <v>6945.75</v>
      </c>
      <c r="U39" s="111">
        <v>6615</v>
      </c>
      <c r="V39" s="108"/>
      <c r="W39" s="79"/>
      <c r="X39" s="86"/>
      <c r="Y39" s="244">
        <f t="shared" si="15"/>
        <v>6615</v>
      </c>
      <c r="Z39" s="245"/>
    </row>
    <row r="40" spans="1:26" ht="13.5" hidden="1" thickTop="1" x14ac:dyDescent="0.2">
      <c r="A40" s="710"/>
      <c r="B40" s="14" t="s">
        <v>373</v>
      </c>
      <c r="C40" s="7" t="s">
        <v>75</v>
      </c>
      <c r="D40" s="7"/>
      <c r="E40" s="5">
        <v>34.5</v>
      </c>
      <c r="F40" s="3">
        <v>0.23</v>
      </c>
      <c r="G40" s="3">
        <v>6</v>
      </c>
      <c r="H40" s="13">
        <v>0</v>
      </c>
      <c r="I40" s="29">
        <f t="shared" si="13"/>
        <v>0</v>
      </c>
      <c r="J40" s="30">
        <f t="shared" si="14"/>
        <v>0</v>
      </c>
      <c r="K40" s="93">
        <f t="shared" si="0"/>
        <v>11250</v>
      </c>
      <c r="L40" s="93">
        <f t="shared" si="1"/>
        <v>8250</v>
      </c>
      <c r="M40" s="93">
        <f t="shared" si="2"/>
        <v>7875</v>
      </c>
      <c r="N40" s="64">
        <v>7500</v>
      </c>
      <c r="O40" s="69"/>
      <c r="P40" s="132">
        <f t="shared" si="3"/>
        <v>7500</v>
      </c>
      <c r="Q40" s="133"/>
      <c r="R40" s="218">
        <f t="shared" si="4"/>
        <v>12375</v>
      </c>
      <c r="S40" s="218">
        <f t="shared" si="6"/>
        <v>9075</v>
      </c>
      <c r="T40" s="218">
        <f t="shared" si="7"/>
        <v>8662.5</v>
      </c>
      <c r="U40" s="111">
        <f>N40*1.1</f>
        <v>8250</v>
      </c>
      <c r="V40" s="108"/>
      <c r="W40" s="79"/>
      <c r="X40" s="86"/>
      <c r="Y40" s="244">
        <f t="shared" si="15"/>
        <v>8250</v>
      </c>
      <c r="Z40" s="245"/>
    </row>
    <row r="41" spans="1:26" ht="13.5" hidden="1" thickTop="1" x14ac:dyDescent="0.2">
      <c r="A41" s="710"/>
      <c r="B41" s="14" t="s">
        <v>374</v>
      </c>
      <c r="C41" s="7" t="s">
        <v>75</v>
      </c>
      <c r="D41" s="7"/>
      <c r="E41" s="5">
        <v>34.5</v>
      </c>
      <c r="F41" s="3">
        <v>0.23</v>
      </c>
      <c r="G41" s="3">
        <v>6</v>
      </c>
      <c r="H41" s="13">
        <v>0</v>
      </c>
      <c r="I41" s="29">
        <f t="shared" si="13"/>
        <v>0</v>
      </c>
      <c r="J41" s="30">
        <f t="shared" si="14"/>
        <v>0</v>
      </c>
      <c r="K41" s="93">
        <f t="shared" si="0"/>
        <v>12075</v>
      </c>
      <c r="L41" s="93">
        <f t="shared" si="1"/>
        <v>8855</v>
      </c>
      <c r="M41" s="93">
        <f t="shared" si="2"/>
        <v>8452.5</v>
      </c>
      <c r="N41" s="64">
        <v>8050</v>
      </c>
      <c r="O41" s="69"/>
      <c r="P41" s="132">
        <f t="shared" si="3"/>
        <v>8050</v>
      </c>
      <c r="Q41" s="133"/>
      <c r="R41" s="218">
        <f t="shared" si="4"/>
        <v>13884</v>
      </c>
      <c r="S41" s="218">
        <f t="shared" si="6"/>
        <v>10181.6</v>
      </c>
      <c r="T41" s="218">
        <f t="shared" si="7"/>
        <v>9718.8000000000011</v>
      </c>
      <c r="U41" s="111">
        <v>9256</v>
      </c>
      <c r="V41" s="108"/>
      <c r="W41" s="79"/>
      <c r="X41" s="86"/>
      <c r="Y41" s="244">
        <f t="shared" si="15"/>
        <v>9256</v>
      </c>
      <c r="Z41" s="245"/>
    </row>
    <row r="42" spans="1:26" ht="18.75" customHeight="1" thickTop="1" x14ac:dyDescent="0.2">
      <c r="A42" s="710"/>
      <c r="B42" s="14" t="s">
        <v>227</v>
      </c>
      <c r="C42" s="7" t="s">
        <v>89</v>
      </c>
      <c r="D42" s="44" t="s">
        <v>285</v>
      </c>
      <c r="E42" s="3">
        <v>15</v>
      </c>
      <c r="F42" s="3">
        <v>0.13</v>
      </c>
      <c r="G42" s="34"/>
      <c r="H42" s="13">
        <v>0</v>
      </c>
      <c r="I42" s="29">
        <f t="shared" si="13"/>
        <v>0</v>
      </c>
      <c r="J42" s="30">
        <f t="shared" si="14"/>
        <v>0</v>
      </c>
      <c r="K42" s="93">
        <f t="shared" si="0"/>
        <v>7500</v>
      </c>
      <c r="L42" s="93">
        <f t="shared" si="1"/>
        <v>5500</v>
      </c>
      <c r="M42" s="93">
        <f t="shared" si="2"/>
        <v>5250</v>
      </c>
      <c r="N42" s="64">
        <v>5000</v>
      </c>
      <c r="O42" s="69">
        <v>3891</v>
      </c>
      <c r="P42" s="132">
        <f t="shared" si="3"/>
        <v>1109</v>
      </c>
      <c r="Q42" s="133"/>
      <c r="R42" s="218">
        <f t="shared" si="4"/>
        <v>8250</v>
      </c>
      <c r="S42" s="218">
        <f t="shared" si="6"/>
        <v>6050.0000000000009</v>
      </c>
      <c r="T42" s="218">
        <f t="shared" si="7"/>
        <v>5775</v>
      </c>
      <c r="U42" s="111">
        <f>N42*1.1</f>
        <v>5500</v>
      </c>
      <c r="V42" s="108">
        <f>O42*1.1</f>
        <v>4280.1000000000004</v>
      </c>
      <c r="W42" s="79">
        <f>U42-V42</f>
        <v>1219.8999999999996</v>
      </c>
      <c r="X42" s="86">
        <v>780</v>
      </c>
      <c r="Y42" s="244">
        <f t="shared" si="15"/>
        <v>4350</v>
      </c>
      <c r="Z42" s="245">
        <v>1150</v>
      </c>
    </row>
    <row r="43" spans="1:26" ht="19.5" customHeight="1" x14ac:dyDescent="0.2">
      <c r="A43" s="710"/>
      <c r="B43" s="14" t="s">
        <v>232</v>
      </c>
      <c r="C43" s="7" t="s">
        <v>89</v>
      </c>
      <c r="D43" s="44" t="s">
        <v>285</v>
      </c>
      <c r="E43" s="3">
        <v>15</v>
      </c>
      <c r="F43" s="3">
        <v>0.13</v>
      </c>
      <c r="G43" s="34"/>
      <c r="H43" s="13">
        <v>0</v>
      </c>
      <c r="I43" s="29">
        <f t="shared" si="13"/>
        <v>0</v>
      </c>
      <c r="J43" s="30">
        <f t="shared" si="14"/>
        <v>0</v>
      </c>
      <c r="K43" s="93">
        <f t="shared" si="0"/>
        <v>8625</v>
      </c>
      <c r="L43" s="93">
        <f t="shared" si="1"/>
        <v>6325.0000000000009</v>
      </c>
      <c r="M43" s="93">
        <f t="shared" si="2"/>
        <v>6037.5</v>
      </c>
      <c r="N43" s="64">
        <v>5750</v>
      </c>
      <c r="O43" s="69">
        <v>4641</v>
      </c>
      <c r="P43" s="132">
        <f t="shared" si="3"/>
        <v>1109</v>
      </c>
      <c r="Q43" s="133"/>
      <c r="R43" s="218">
        <f t="shared" si="4"/>
        <v>9922.5</v>
      </c>
      <c r="S43" s="218">
        <f t="shared" si="6"/>
        <v>7276.5000000000009</v>
      </c>
      <c r="T43" s="218">
        <f t="shared" si="7"/>
        <v>6945.75</v>
      </c>
      <c r="U43" s="111">
        <v>6615</v>
      </c>
      <c r="V43" s="108">
        <f t="shared" ref="V43:V51" si="16">O43*1.1</f>
        <v>5105.1000000000004</v>
      </c>
      <c r="W43" s="79">
        <f>U43-V43</f>
        <v>1509.8999999999996</v>
      </c>
      <c r="X43" s="86">
        <v>780</v>
      </c>
      <c r="Y43" s="244">
        <f t="shared" si="15"/>
        <v>5465</v>
      </c>
      <c r="Z43" s="245">
        <v>1150</v>
      </c>
    </row>
    <row r="44" spans="1:26" ht="18.75" customHeight="1" x14ac:dyDescent="0.2">
      <c r="A44" s="710"/>
      <c r="B44" s="14" t="s">
        <v>228</v>
      </c>
      <c r="C44" s="7" t="s">
        <v>90</v>
      </c>
      <c r="D44" s="44" t="s">
        <v>286</v>
      </c>
      <c r="E44" s="3">
        <v>17.5</v>
      </c>
      <c r="F44" s="3">
        <v>0.17</v>
      </c>
      <c r="G44" s="34"/>
      <c r="H44" s="13">
        <v>0</v>
      </c>
      <c r="I44" s="29">
        <f t="shared" si="13"/>
        <v>0</v>
      </c>
      <c r="J44" s="30">
        <f t="shared" si="14"/>
        <v>0</v>
      </c>
      <c r="K44" s="93">
        <f t="shared" si="0"/>
        <v>7950</v>
      </c>
      <c r="L44" s="93">
        <f t="shared" si="1"/>
        <v>5830.0000000000009</v>
      </c>
      <c r="M44" s="93">
        <f t="shared" si="2"/>
        <v>5565</v>
      </c>
      <c r="N44" s="64">
        <v>5300</v>
      </c>
      <c r="O44" s="69">
        <v>4146.5</v>
      </c>
      <c r="P44" s="132">
        <f t="shared" si="3"/>
        <v>1153.5</v>
      </c>
      <c r="Q44" s="133"/>
      <c r="R44" s="218">
        <f t="shared" si="4"/>
        <v>8745.0000000000018</v>
      </c>
      <c r="S44" s="218">
        <f t="shared" si="6"/>
        <v>6413.0000000000018</v>
      </c>
      <c r="T44" s="218">
        <f t="shared" si="7"/>
        <v>6121.5000000000009</v>
      </c>
      <c r="U44" s="111">
        <f>N44*1.1</f>
        <v>5830.0000000000009</v>
      </c>
      <c r="V44" s="108">
        <f t="shared" si="16"/>
        <v>4561.1500000000005</v>
      </c>
      <c r="W44" s="79">
        <f t="shared" ref="W44:W86" si="17">U44-V44</f>
        <v>1268.8500000000004</v>
      </c>
      <c r="X44" s="86">
        <v>835</v>
      </c>
      <c r="Y44" s="244">
        <f t="shared" si="15"/>
        <v>4599.0000000000009</v>
      </c>
      <c r="Z44" s="245">
        <v>1231</v>
      </c>
    </row>
    <row r="45" spans="1:26" ht="19.5" customHeight="1" x14ac:dyDescent="0.2">
      <c r="A45" s="710"/>
      <c r="B45" s="14" t="s">
        <v>233</v>
      </c>
      <c r="C45" s="7" t="s">
        <v>90</v>
      </c>
      <c r="D45" s="44" t="s">
        <v>286</v>
      </c>
      <c r="E45" s="3">
        <v>17.5</v>
      </c>
      <c r="F45" s="3">
        <v>0.17</v>
      </c>
      <c r="G45" s="34"/>
      <c r="H45" s="13">
        <v>0</v>
      </c>
      <c r="I45" s="29">
        <f t="shared" si="13"/>
        <v>0</v>
      </c>
      <c r="J45" s="30">
        <f t="shared" si="14"/>
        <v>0</v>
      </c>
      <c r="K45" s="93">
        <f t="shared" si="0"/>
        <v>9142.5</v>
      </c>
      <c r="L45" s="93">
        <f t="shared" si="1"/>
        <v>6704.5000000000009</v>
      </c>
      <c r="M45" s="93">
        <f t="shared" si="2"/>
        <v>6399.75</v>
      </c>
      <c r="N45" s="64">
        <v>6095</v>
      </c>
      <c r="O45" s="69">
        <v>4941.5</v>
      </c>
      <c r="P45" s="132">
        <f t="shared" si="3"/>
        <v>1153.5</v>
      </c>
      <c r="Q45" s="133"/>
      <c r="R45" s="218">
        <f t="shared" si="4"/>
        <v>10515</v>
      </c>
      <c r="S45" s="218">
        <f t="shared" si="6"/>
        <v>7711.0000000000009</v>
      </c>
      <c r="T45" s="218">
        <f t="shared" si="7"/>
        <v>7360.5</v>
      </c>
      <c r="U45" s="111">
        <v>7010</v>
      </c>
      <c r="V45" s="108">
        <f t="shared" si="16"/>
        <v>5435.6500000000005</v>
      </c>
      <c r="W45" s="79">
        <f t="shared" si="17"/>
        <v>1574.3499999999995</v>
      </c>
      <c r="X45" s="86">
        <v>835</v>
      </c>
      <c r="Y45" s="244">
        <f t="shared" si="15"/>
        <v>5779</v>
      </c>
      <c r="Z45" s="245">
        <v>1231</v>
      </c>
    </row>
    <row r="46" spans="1:26" ht="17.25" customHeight="1" x14ac:dyDescent="0.2">
      <c r="A46" s="710"/>
      <c r="B46" s="14" t="s">
        <v>229</v>
      </c>
      <c r="C46" s="7" t="s">
        <v>91</v>
      </c>
      <c r="D46" s="44" t="s">
        <v>287</v>
      </c>
      <c r="E46" s="3">
        <v>25</v>
      </c>
      <c r="F46" s="3">
        <v>0.21</v>
      </c>
      <c r="G46" s="34"/>
      <c r="H46" s="13">
        <v>0</v>
      </c>
      <c r="I46" s="29">
        <f t="shared" si="13"/>
        <v>0</v>
      </c>
      <c r="J46" s="30">
        <f t="shared" si="14"/>
        <v>0</v>
      </c>
      <c r="K46" s="93">
        <f t="shared" si="0"/>
        <v>10725</v>
      </c>
      <c r="L46" s="93">
        <f t="shared" si="1"/>
        <v>7865.0000000000009</v>
      </c>
      <c r="M46" s="93">
        <f t="shared" si="2"/>
        <v>7507.5</v>
      </c>
      <c r="N46" s="64">
        <v>7150</v>
      </c>
      <c r="O46" s="69">
        <v>4951.2</v>
      </c>
      <c r="P46" s="132">
        <f t="shared" si="3"/>
        <v>2198.8000000000002</v>
      </c>
      <c r="Q46" s="133"/>
      <c r="R46" s="218">
        <f t="shared" si="4"/>
        <v>11797.500000000002</v>
      </c>
      <c r="S46" s="218">
        <f t="shared" si="6"/>
        <v>8651.5000000000018</v>
      </c>
      <c r="T46" s="218">
        <f t="shared" si="7"/>
        <v>8258.2500000000018</v>
      </c>
      <c r="U46" s="111">
        <f>N46*1.1</f>
        <v>7865.0000000000009</v>
      </c>
      <c r="V46" s="108">
        <f t="shared" si="16"/>
        <v>5446.3200000000006</v>
      </c>
      <c r="W46" s="79">
        <f t="shared" si="17"/>
        <v>2418.6800000000003</v>
      </c>
      <c r="X46" s="86">
        <v>1545.8</v>
      </c>
      <c r="Y46" s="244">
        <f t="shared" si="15"/>
        <v>5585.0000000000009</v>
      </c>
      <c r="Z46" s="245">
        <v>2280</v>
      </c>
    </row>
    <row r="47" spans="1:26" ht="16.5" customHeight="1" x14ac:dyDescent="0.2">
      <c r="A47" s="710"/>
      <c r="B47" s="14" t="s">
        <v>234</v>
      </c>
      <c r="C47" s="7" t="s">
        <v>91</v>
      </c>
      <c r="D47" s="44" t="s">
        <v>287</v>
      </c>
      <c r="E47" s="3">
        <v>25</v>
      </c>
      <c r="F47" s="3">
        <v>0.21</v>
      </c>
      <c r="G47" s="34"/>
      <c r="H47" s="13">
        <v>0</v>
      </c>
      <c r="I47" s="29">
        <f t="shared" si="13"/>
        <v>0</v>
      </c>
      <c r="J47" s="30">
        <f t="shared" si="14"/>
        <v>0</v>
      </c>
      <c r="K47" s="93">
        <f t="shared" si="0"/>
        <v>12337.5</v>
      </c>
      <c r="L47" s="93">
        <f t="shared" si="1"/>
        <v>9047.5</v>
      </c>
      <c r="M47" s="93">
        <f t="shared" si="2"/>
        <v>8636.25</v>
      </c>
      <c r="N47" s="64">
        <v>8225</v>
      </c>
      <c r="O47" s="69">
        <v>6026.2</v>
      </c>
      <c r="P47" s="132">
        <f t="shared" si="3"/>
        <v>2198.8000000000002</v>
      </c>
      <c r="Q47" s="133"/>
      <c r="R47" s="218">
        <f t="shared" si="4"/>
        <v>14190</v>
      </c>
      <c r="S47" s="218">
        <f t="shared" si="6"/>
        <v>10406</v>
      </c>
      <c r="T47" s="218">
        <f t="shared" si="7"/>
        <v>9933</v>
      </c>
      <c r="U47" s="111">
        <v>9460</v>
      </c>
      <c r="V47" s="108">
        <f t="shared" si="16"/>
        <v>6628.8200000000006</v>
      </c>
      <c r="W47" s="79">
        <f t="shared" si="17"/>
        <v>2831.1799999999994</v>
      </c>
      <c r="X47" s="86">
        <v>1545.8</v>
      </c>
      <c r="Y47" s="244">
        <f t="shared" si="15"/>
        <v>7180</v>
      </c>
      <c r="Z47" s="245">
        <v>2280</v>
      </c>
    </row>
    <row r="48" spans="1:26" ht="15" customHeight="1" x14ac:dyDescent="0.2">
      <c r="A48" s="710"/>
      <c r="B48" s="14" t="s">
        <v>225</v>
      </c>
      <c r="C48" s="7" t="s">
        <v>87</v>
      </c>
      <c r="D48" s="44" t="s">
        <v>288</v>
      </c>
      <c r="E48" s="3">
        <v>29</v>
      </c>
      <c r="F48" s="3">
        <v>0.28000000000000003</v>
      </c>
      <c r="G48" s="34"/>
      <c r="H48" s="13">
        <v>0</v>
      </c>
      <c r="I48" s="29">
        <f t="shared" si="13"/>
        <v>0</v>
      </c>
      <c r="J48" s="30">
        <f t="shared" si="14"/>
        <v>0</v>
      </c>
      <c r="K48" s="93">
        <f t="shared" si="0"/>
        <v>13200</v>
      </c>
      <c r="L48" s="93">
        <f t="shared" si="1"/>
        <v>9680</v>
      </c>
      <c r="M48" s="93">
        <f t="shared" si="2"/>
        <v>9240</v>
      </c>
      <c r="N48" s="64">
        <v>8800</v>
      </c>
      <c r="O48" s="69">
        <v>6317.15</v>
      </c>
      <c r="P48" s="132">
        <f t="shared" si="3"/>
        <v>2482.8500000000004</v>
      </c>
      <c r="Q48" s="133"/>
      <c r="R48" s="218">
        <f t="shared" si="4"/>
        <v>14520</v>
      </c>
      <c r="S48" s="218">
        <f t="shared" si="6"/>
        <v>10648</v>
      </c>
      <c r="T48" s="218">
        <f t="shared" si="7"/>
        <v>10164</v>
      </c>
      <c r="U48" s="111">
        <f>N48*1.1</f>
        <v>9680</v>
      </c>
      <c r="V48" s="108">
        <f t="shared" si="16"/>
        <v>6948.8649999999998</v>
      </c>
      <c r="W48" s="79">
        <f t="shared" si="17"/>
        <v>2731.1350000000002</v>
      </c>
      <c r="X48" s="86">
        <v>1745</v>
      </c>
      <c r="Y48" s="244">
        <f t="shared" si="15"/>
        <v>7106</v>
      </c>
      <c r="Z48" s="245">
        <v>2574</v>
      </c>
    </row>
    <row r="49" spans="1:26" ht="15.75" customHeight="1" x14ac:dyDescent="0.2">
      <c r="A49" s="710"/>
      <c r="B49" s="14" t="s">
        <v>230</v>
      </c>
      <c r="C49" s="7" t="s">
        <v>87</v>
      </c>
      <c r="D49" s="44" t="s">
        <v>288</v>
      </c>
      <c r="E49" s="3">
        <v>29</v>
      </c>
      <c r="F49" s="3">
        <v>0.28000000000000003</v>
      </c>
      <c r="G49" s="34"/>
      <c r="H49" s="13">
        <v>0</v>
      </c>
      <c r="I49" s="29">
        <f t="shared" si="13"/>
        <v>0</v>
      </c>
      <c r="J49" s="30">
        <f t="shared" si="14"/>
        <v>0</v>
      </c>
      <c r="K49" s="93">
        <f t="shared" si="0"/>
        <v>15180</v>
      </c>
      <c r="L49" s="93">
        <f t="shared" si="1"/>
        <v>11132</v>
      </c>
      <c r="M49" s="93">
        <f t="shared" si="2"/>
        <v>10626</v>
      </c>
      <c r="N49" s="64">
        <v>10120</v>
      </c>
      <c r="O49" s="69">
        <v>7637.15</v>
      </c>
      <c r="P49" s="132">
        <f t="shared" si="3"/>
        <v>2482.8500000000004</v>
      </c>
      <c r="Q49" s="133"/>
      <c r="R49" s="218">
        <f t="shared" si="4"/>
        <v>17457</v>
      </c>
      <c r="S49" s="218">
        <f t="shared" si="6"/>
        <v>12801.800000000001</v>
      </c>
      <c r="T49" s="218">
        <f t="shared" si="7"/>
        <v>12219.9</v>
      </c>
      <c r="U49" s="111">
        <v>11638</v>
      </c>
      <c r="V49" s="108">
        <f t="shared" si="16"/>
        <v>8400.8649999999998</v>
      </c>
      <c r="W49" s="79">
        <f t="shared" si="17"/>
        <v>3237.1350000000002</v>
      </c>
      <c r="X49" s="86">
        <v>1745</v>
      </c>
      <c r="Y49" s="244">
        <f t="shared" si="15"/>
        <v>9064</v>
      </c>
      <c r="Z49" s="245">
        <v>2574</v>
      </c>
    </row>
    <row r="50" spans="1:26" ht="15.75" customHeight="1" x14ac:dyDescent="0.2">
      <c r="A50" s="710"/>
      <c r="B50" s="14" t="s">
        <v>226</v>
      </c>
      <c r="C50" s="7" t="s">
        <v>88</v>
      </c>
      <c r="D50" s="44" t="s">
        <v>289</v>
      </c>
      <c r="E50" s="3">
        <v>34.200000000000003</v>
      </c>
      <c r="F50" s="3">
        <v>0.4</v>
      </c>
      <c r="G50" s="34"/>
      <c r="H50" s="13">
        <v>0</v>
      </c>
      <c r="I50" s="29">
        <f t="shared" si="13"/>
        <v>0</v>
      </c>
      <c r="J50" s="30">
        <f t="shared" si="14"/>
        <v>0</v>
      </c>
      <c r="K50" s="93">
        <f t="shared" si="0"/>
        <v>21000</v>
      </c>
      <c r="L50" s="93">
        <f t="shared" si="1"/>
        <v>15400.000000000002</v>
      </c>
      <c r="M50" s="93">
        <f t="shared" si="2"/>
        <v>14700</v>
      </c>
      <c r="N50" s="64">
        <v>14000</v>
      </c>
      <c r="O50" s="69">
        <v>7096.55</v>
      </c>
      <c r="P50" s="132">
        <f t="shared" si="3"/>
        <v>6903.45</v>
      </c>
      <c r="Q50" s="133"/>
      <c r="R50" s="218">
        <f t="shared" si="4"/>
        <v>23100.000000000004</v>
      </c>
      <c r="S50" s="218">
        <f t="shared" si="6"/>
        <v>16940.000000000004</v>
      </c>
      <c r="T50" s="218">
        <f t="shared" si="7"/>
        <v>16170.000000000002</v>
      </c>
      <c r="U50" s="111">
        <f>N50*1.1</f>
        <v>15400.000000000002</v>
      </c>
      <c r="V50" s="108">
        <f t="shared" si="16"/>
        <v>7806.2050000000008</v>
      </c>
      <c r="W50" s="79">
        <f t="shared" si="17"/>
        <v>7593.795000000001</v>
      </c>
      <c r="X50" s="86">
        <v>6027</v>
      </c>
      <c r="Y50" s="244">
        <f t="shared" si="15"/>
        <v>8077.0000000000018</v>
      </c>
      <c r="Z50" s="245">
        <v>7323</v>
      </c>
    </row>
    <row r="51" spans="1:26" ht="15.75" customHeight="1" thickBot="1" x14ac:dyDescent="0.25">
      <c r="A51" s="718"/>
      <c r="B51" s="173" t="s">
        <v>231</v>
      </c>
      <c r="C51" s="174" t="s">
        <v>88</v>
      </c>
      <c r="D51" s="175" t="s">
        <v>289</v>
      </c>
      <c r="E51" s="176">
        <v>34.200000000000003</v>
      </c>
      <c r="F51" s="176">
        <v>0.4</v>
      </c>
      <c r="G51" s="177"/>
      <c r="H51" s="178">
        <v>0</v>
      </c>
      <c r="I51" s="179">
        <f t="shared" si="13"/>
        <v>0</v>
      </c>
      <c r="J51" s="180">
        <f t="shared" si="14"/>
        <v>0</v>
      </c>
      <c r="K51" s="139">
        <f t="shared" si="0"/>
        <v>24150</v>
      </c>
      <c r="L51" s="139">
        <f t="shared" si="1"/>
        <v>17710</v>
      </c>
      <c r="M51" s="139">
        <f t="shared" si="2"/>
        <v>16905</v>
      </c>
      <c r="N51" s="140">
        <v>16100</v>
      </c>
      <c r="O51" s="141">
        <v>9196.5499999999993</v>
      </c>
      <c r="P51" s="142">
        <f t="shared" si="3"/>
        <v>6903.4500000000007</v>
      </c>
      <c r="Q51" s="143"/>
      <c r="R51" s="219">
        <f t="shared" si="4"/>
        <v>27772.5</v>
      </c>
      <c r="S51" s="219">
        <f t="shared" si="6"/>
        <v>20366.5</v>
      </c>
      <c r="T51" s="219">
        <f t="shared" si="7"/>
        <v>19440.75</v>
      </c>
      <c r="U51" s="111">
        <v>18515</v>
      </c>
      <c r="V51" s="108">
        <f t="shared" si="16"/>
        <v>10116.205</v>
      </c>
      <c r="W51" s="79">
        <f t="shared" si="17"/>
        <v>8398.7950000000001</v>
      </c>
      <c r="X51" s="86">
        <v>6027</v>
      </c>
      <c r="Y51" s="244">
        <f t="shared" si="15"/>
        <v>11192</v>
      </c>
      <c r="Z51" s="245">
        <v>7323</v>
      </c>
    </row>
    <row r="52" spans="1:26" ht="13.5" hidden="1" thickTop="1" x14ac:dyDescent="0.2">
      <c r="A52" s="716" t="s">
        <v>138</v>
      </c>
      <c r="B52" s="21" t="s">
        <v>406</v>
      </c>
      <c r="C52" s="145" t="s">
        <v>10</v>
      </c>
      <c r="D52" s="145"/>
      <c r="E52" s="122">
        <v>14.2</v>
      </c>
      <c r="F52" s="123">
        <v>0.1</v>
      </c>
      <c r="G52" s="123">
        <v>10</v>
      </c>
      <c r="H52" s="124">
        <v>0</v>
      </c>
      <c r="I52" s="125">
        <f t="shared" si="13"/>
        <v>0</v>
      </c>
      <c r="J52" s="126">
        <f t="shared" si="14"/>
        <v>0</v>
      </c>
      <c r="K52" s="127">
        <f t="shared" si="0"/>
        <v>3075</v>
      </c>
      <c r="L52" s="127">
        <f t="shared" si="1"/>
        <v>2255</v>
      </c>
      <c r="M52" s="127">
        <f t="shared" si="2"/>
        <v>2152.5</v>
      </c>
      <c r="N52" s="67">
        <v>2050</v>
      </c>
      <c r="O52" s="128"/>
      <c r="P52" s="132">
        <f t="shared" si="3"/>
        <v>2050</v>
      </c>
      <c r="Q52" s="133"/>
      <c r="R52" s="222">
        <f t="shared" si="4"/>
        <v>3382.5</v>
      </c>
      <c r="S52" s="222">
        <f t="shared" si="6"/>
        <v>2480.5</v>
      </c>
      <c r="T52" s="222">
        <f t="shared" si="7"/>
        <v>2367.75</v>
      </c>
      <c r="U52" s="111">
        <f t="shared" ref="U52:U67" si="18">N52*1.1</f>
        <v>2255</v>
      </c>
      <c r="V52" s="108"/>
      <c r="W52" s="79"/>
      <c r="X52" s="86"/>
      <c r="Y52" s="244">
        <f t="shared" si="15"/>
        <v>2255</v>
      </c>
      <c r="Z52" s="245"/>
    </row>
    <row r="53" spans="1:26" ht="13.5" hidden="1" thickTop="1" x14ac:dyDescent="0.2">
      <c r="A53" s="710"/>
      <c r="B53" s="14" t="s">
        <v>407</v>
      </c>
      <c r="C53" s="8" t="s">
        <v>11</v>
      </c>
      <c r="D53" s="8"/>
      <c r="E53" s="31">
        <v>15.6</v>
      </c>
      <c r="F53" s="3">
        <v>0.1</v>
      </c>
      <c r="G53" s="3">
        <v>10</v>
      </c>
      <c r="H53" s="13">
        <v>0</v>
      </c>
      <c r="I53" s="29">
        <f t="shared" si="13"/>
        <v>0</v>
      </c>
      <c r="J53" s="30">
        <f t="shared" si="14"/>
        <v>0</v>
      </c>
      <c r="K53" s="93">
        <f t="shared" si="0"/>
        <v>3300</v>
      </c>
      <c r="L53" s="93">
        <f t="shared" si="1"/>
        <v>2420</v>
      </c>
      <c r="M53" s="93">
        <f t="shared" si="2"/>
        <v>2310</v>
      </c>
      <c r="N53" s="64">
        <v>2200</v>
      </c>
      <c r="O53" s="69"/>
      <c r="P53" s="132">
        <f t="shared" si="3"/>
        <v>2200</v>
      </c>
      <c r="Q53" s="133"/>
      <c r="R53" s="218">
        <f t="shared" si="4"/>
        <v>3630</v>
      </c>
      <c r="S53" s="218">
        <f t="shared" si="6"/>
        <v>2662</v>
      </c>
      <c r="T53" s="218">
        <f t="shared" si="7"/>
        <v>2541</v>
      </c>
      <c r="U53" s="111">
        <f t="shared" si="18"/>
        <v>2420</v>
      </c>
      <c r="V53" s="108"/>
      <c r="W53" s="79"/>
      <c r="X53" s="86"/>
      <c r="Y53" s="244">
        <f t="shared" si="15"/>
        <v>2420</v>
      </c>
      <c r="Z53" s="245"/>
    </row>
    <row r="54" spans="1:26" ht="13.5" hidden="1" thickTop="1" x14ac:dyDescent="0.2">
      <c r="A54" s="710"/>
      <c r="B54" s="14" t="s">
        <v>28</v>
      </c>
      <c r="C54" s="8" t="s">
        <v>11</v>
      </c>
      <c r="D54" s="8"/>
      <c r="E54" s="5">
        <v>22</v>
      </c>
      <c r="F54" s="3">
        <v>0.1</v>
      </c>
      <c r="G54" s="3">
        <v>10</v>
      </c>
      <c r="H54" s="13">
        <v>0</v>
      </c>
      <c r="I54" s="29">
        <f t="shared" si="13"/>
        <v>0</v>
      </c>
      <c r="J54" s="30">
        <f t="shared" si="14"/>
        <v>0</v>
      </c>
      <c r="K54" s="93">
        <f t="shared" si="0"/>
        <v>4350</v>
      </c>
      <c r="L54" s="93">
        <f t="shared" si="1"/>
        <v>3190.0000000000005</v>
      </c>
      <c r="M54" s="93">
        <f t="shared" si="2"/>
        <v>3045</v>
      </c>
      <c r="N54" s="64">
        <v>2900</v>
      </c>
      <c r="O54" s="69"/>
      <c r="P54" s="132">
        <f t="shared" si="3"/>
        <v>2900</v>
      </c>
      <c r="Q54" s="133"/>
      <c r="R54" s="218">
        <f t="shared" si="4"/>
        <v>4785.0000000000009</v>
      </c>
      <c r="S54" s="218">
        <f t="shared" si="6"/>
        <v>3509.0000000000009</v>
      </c>
      <c r="T54" s="218">
        <f t="shared" si="7"/>
        <v>3349.5000000000005</v>
      </c>
      <c r="U54" s="111">
        <f t="shared" si="18"/>
        <v>3190.0000000000005</v>
      </c>
      <c r="V54" s="108"/>
      <c r="W54" s="79"/>
      <c r="X54" s="86"/>
      <c r="Y54" s="244">
        <f t="shared" si="15"/>
        <v>3190.0000000000005</v>
      </c>
      <c r="Z54" s="245"/>
    </row>
    <row r="55" spans="1:26" ht="13.5" hidden="1" thickTop="1" x14ac:dyDescent="0.2">
      <c r="A55" s="710"/>
      <c r="B55" s="14" t="s">
        <v>408</v>
      </c>
      <c r="C55" s="7" t="s">
        <v>83</v>
      </c>
      <c r="D55" s="7"/>
      <c r="E55" s="5">
        <v>34.5</v>
      </c>
      <c r="F55" s="3">
        <v>0.23</v>
      </c>
      <c r="G55" s="3">
        <v>6</v>
      </c>
      <c r="H55" s="13">
        <v>0</v>
      </c>
      <c r="I55" s="29">
        <f t="shared" si="13"/>
        <v>0</v>
      </c>
      <c r="J55" s="30">
        <f t="shared" si="14"/>
        <v>0</v>
      </c>
      <c r="K55" s="93">
        <f t="shared" si="0"/>
        <v>7725</v>
      </c>
      <c r="L55" s="93">
        <f t="shared" si="1"/>
        <v>5665.0000000000009</v>
      </c>
      <c r="M55" s="93">
        <f t="shared" si="2"/>
        <v>5407.5</v>
      </c>
      <c r="N55" s="64">
        <v>5150</v>
      </c>
      <c r="O55" s="69"/>
      <c r="P55" s="132">
        <f t="shared" si="3"/>
        <v>5150</v>
      </c>
      <c r="Q55" s="133"/>
      <c r="R55" s="218">
        <f t="shared" si="4"/>
        <v>8497.5000000000018</v>
      </c>
      <c r="S55" s="218">
        <f t="shared" si="6"/>
        <v>6231.5000000000018</v>
      </c>
      <c r="T55" s="218">
        <f t="shared" si="7"/>
        <v>5948.2500000000009</v>
      </c>
      <c r="U55" s="111">
        <f t="shared" si="18"/>
        <v>5665.0000000000009</v>
      </c>
      <c r="V55" s="108"/>
      <c r="W55" s="79"/>
      <c r="X55" s="86"/>
      <c r="Y55" s="244">
        <f t="shared" si="15"/>
        <v>5665.0000000000009</v>
      </c>
      <c r="Z55" s="245"/>
    </row>
    <row r="56" spans="1:26" ht="13.5" thickTop="1" x14ac:dyDescent="0.2">
      <c r="A56" s="710"/>
      <c r="B56" s="14" t="s">
        <v>32</v>
      </c>
      <c r="C56" s="7" t="s">
        <v>92</v>
      </c>
      <c r="D56" s="44" t="s">
        <v>281</v>
      </c>
      <c r="E56" s="5">
        <v>26.7</v>
      </c>
      <c r="F56" s="3">
        <v>0.16</v>
      </c>
      <c r="G56" s="3"/>
      <c r="H56" s="13">
        <v>0</v>
      </c>
      <c r="I56" s="29">
        <f t="shared" si="13"/>
        <v>0</v>
      </c>
      <c r="J56" s="30">
        <f t="shared" si="14"/>
        <v>0</v>
      </c>
      <c r="K56" s="93">
        <f t="shared" si="0"/>
        <v>8250</v>
      </c>
      <c r="L56" s="93">
        <f t="shared" si="1"/>
        <v>6050.0000000000009</v>
      </c>
      <c r="M56" s="93">
        <f t="shared" si="2"/>
        <v>5775</v>
      </c>
      <c r="N56" s="64">
        <v>5500</v>
      </c>
      <c r="O56" s="69">
        <v>2940</v>
      </c>
      <c r="P56" s="132">
        <f t="shared" si="3"/>
        <v>2560</v>
      </c>
      <c r="Q56" s="133"/>
      <c r="R56" s="218">
        <f t="shared" si="4"/>
        <v>9075.0000000000018</v>
      </c>
      <c r="S56" s="218">
        <f t="shared" si="6"/>
        <v>6655.0000000000018</v>
      </c>
      <c r="T56" s="218">
        <f t="shared" si="7"/>
        <v>6352.5000000000009</v>
      </c>
      <c r="U56" s="111">
        <f t="shared" si="18"/>
        <v>6050.0000000000009</v>
      </c>
      <c r="V56" s="108">
        <f t="shared" ref="V56:V61" si="19">O56*1.1</f>
        <v>3234.0000000000005</v>
      </c>
      <c r="W56" s="79">
        <f t="shared" si="17"/>
        <v>2816.0000000000005</v>
      </c>
      <c r="X56" s="86">
        <v>2293</v>
      </c>
      <c r="Y56" s="244">
        <f t="shared" si="15"/>
        <v>3167.0000000000009</v>
      </c>
      <c r="Z56" s="245">
        <v>2883</v>
      </c>
    </row>
    <row r="57" spans="1:26" ht="12.75" x14ac:dyDescent="0.2">
      <c r="A57" s="710"/>
      <c r="B57" s="14" t="s">
        <v>33</v>
      </c>
      <c r="C57" s="7" t="s">
        <v>97</v>
      </c>
      <c r="D57" s="44" t="s">
        <v>281</v>
      </c>
      <c r="E57" s="5">
        <v>26.7</v>
      </c>
      <c r="F57" s="3">
        <v>0.22</v>
      </c>
      <c r="G57" s="3"/>
      <c r="H57" s="13">
        <v>0</v>
      </c>
      <c r="I57" s="29">
        <f t="shared" si="13"/>
        <v>0</v>
      </c>
      <c r="J57" s="30">
        <f t="shared" si="14"/>
        <v>0</v>
      </c>
      <c r="K57" s="93">
        <f t="shared" si="0"/>
        <v>9750</v>
      </c>
      <c r="L57" s="93">
        <f t="shared" si="1"/>
        <v>7150.0000000000009</v>
      </c>
      <c r="M57" s="93">
        <f t="shared" si="2"/>
        <v>6825</v>
      </c>
      <c r="N57" s="64">
        <v>6500</v>
      </c>
      <c r="O57" s="69">
        <v>3940</v>
      </c>
      <c r="P57" s="132">
        <f t="shared" si="3"/>
        <v>2560</v>
      </c>
      <c r="Q57" s="133"/>
      <c r="R57" s="218">
        <f t="shared" si="4"/>
        <v>10725.000000000002</v>
      </c>
      <c r="S57" s="218">
        <f t="shared" si="6"/>
        <v>7865.0000000000018</v>
      </c>
      <c r="T57" s="218">
        <f t="shared" si="7"/>
        <v>7507.5000000000009</v>
      </c>
      <c r="U57" s="111">
        <f t="shared" si="18"/>
        <v>7150.0000000000009</v>
      </c>
      <c r="V57" s="108">
        <f t="shared" si="19"/>
        <v>4334</v>
      </c>
      <c r="W57" s="79">
        <f t="shared" si="17"/>
        <v>2816.0000000000009</v>
      </c>
      <c r="X57" s="86">
        <v>2293</v>
      </c>
      <c r="Y57" s="244">
        <f t="shared" si="15"/>
        <v>4267.0000000000009</v>
      </c>
      <c r="Z57" s="245">
        <v>2883</v>
      </c>
    </row>
    <row r="58" spans="1:26" ht="12.75" x14ac:dyDescent="0.2">
      <c r="A58" s="710"/>
      <c r="B58" s="14" t="s">
        <v>235</v>
      </c>
      <c r="C58" s="7" t="s">
        <v>94</v>
      </c>
      <c r="D58" s="44" t="s">
        <v>282</v>
      </c>
      <c r="E58" s="5">
        <v>21.5</v>
      </c>
      <c r="F58" s="3">
        <v>0.19</v>
      </c>
      <c r="G58" s="3"/>
      <c r="H58" s="13">
        <v>0</v>
      </c>
      <c r="I58" s="29">
        <f t="shared" si="13"/>
        <v>0</v>
      </c>
      <c r="J58" s="30">
        <f t="shared" si="14"/>
        <v>0</v>
      </c>
      <c r="K58" s="93">
        <f t="shared" si="0"/>
        <v>9150</v>
      </c>
      <c r="L58" s="93">
        <f t="shared" si="1"/>
        <v>6710.0000000000009</v>
      </c>
      <c r="M58" s="93">
        <f t="shared" si="2"/>
        <v>6405</v>
      </c>
      <c r="N58" s="64">
        <v>6100</v>
      </c>
      <c r="O58" s="69">
        <v>3030</v>
      </c>
      <c r="P58" s="132">
        <f t="shared" si="3"/>
        <v>3070</v>
      </c>
      <c r="Q58" s="133"/>
      <c r="R58" s="218">
        <f t="shared" si="4"/>
        <v>10065.000000000002</v>
      </c>
      <c r="S58" s="218">
        <f t="shared" si="6"/>
        <v>7381.0000000000018</v>
      </c>
      <c r="T58" s="218">
        <f t="shared" si="7"/>
        <v>7045.5000000000009</v>
      </c>
      <c r="U58" s="111">
        <f t="shared" si="18"/>
        <v>6710.0000000000009</v>
      </c>
      <c r="V58" s="108">
        <f t="shared" si="19"/>
        <v>3333.0000000000005</v>
      </c>
      <c r="W58" s="79">
        <f t="shared" si="17"/>
        <v>3377.0000000000005</v>
      </c>
      <c r="X58" s="86">
        <v>2736</v>
      </c>
      <c r="Y58" s="244">
        <f t="shared" si="15"/>
        <v>3270.0000000000009</v>
      </c>
      <c r="Z58" s="245">
        <v>3440</v>
      </c>
    </row>
    <row r="59" spans="1:26" ht="12.75" x14ac:dyDescent="0.2">
      <c r="A59" s="710"/>
      <c r="B59" s="14" t="s">
        <v>236</v>
      </c>
      <c r="C59" s="7" t="s">
        <v>98</v>
      </c>
      <c r="D59" s="44" t="s">
        <v>282</v>
      </c>
      <c r="E59" s="5">
        <v>21.5</v>
      </c>
      <c r="F59" s="3">
        <v>0.24</v>
      </c>
      <c r="G59" s="3"/>
      <c r="H59" s="13">
        <v>0</v>
      </c>
      <c r="I59" s="29">
        <f t="shared" si="13"/>
        <v>0</v>
      </c>
      <c r="J59" s="30">
        <f t="shared" si="14"/>
        <v>0</v>
      </c>
      <c r="K59" s="93">
        <f t="shared" si="0"/>
        <v>10350</v>
      </c>
      <c r="L59" s="93">
        <f t="shared" si="1"/>
        <v>7590.0000000000009</v>
      </c>
      <c r="M59" s="93">
        <f t="shared" si="2"/>
        <v>7245</v>
      </c>
      <c r="N59" s="64">
        <v>6900</v>
      </c>
      <c r="O59" s="69">
        <v>3830</v>
      </c>
      <c r="P59" s="132">
        <f t="shared" si="3"/>
        <v>3070</v>
      </c>
      <c r="Q59" s="133"/>
      <c r="R59" s="218">
        <f t="shared" si="4"/>
        <v>11385.000000000002</v>
      </c>
      <c r="S59" s="218">
        <f t="shared" si="6"/>
        <v>8349.0000000000018</v>
      </c>
      <c r="T59" s="218">
        <f t="shared" si="7"/>
        <v>7969.5000000000009</v>
      </c>
      <c r="U59" s="111">
        <f t="shared" si="18"/>
        <v>7590.0000000000009</v>
      </c>
      <c r="V59" s="108">
        <f t="shared" si="19"/>
        <v>4213</v>
      </c>
      <c r="W59" s="79">
        <f t="shared" si="17"/>
        <v>3377.0000000000009</v>
      </c>
      <c r="X59" s="86">
        <v>2736</v>
      </c>
      <c r="Y59" s="244">
        <f t="shared" si="15"/>
        <v>4150.0000000000009</v>
      </c>
      <c r="Z59" s="245">
        <v>3440</v>
      </c>
    </row>
    <row r="60" spans="1:26" ht="12.75" x14ac:dyDescent="0.2">
      <c r="A60" s="710"/>
      <c r="B60" s="14" t="s">
        <v>237</v>
      </c>
      <c r="C60" s="7" t="s">
        <v>95</v>
      </c>
      <c r="D60" s="44" t="s">
        <v>283</v>
      </c>
      <c r="E60" s="3">
        <v>25.5</v>
      </c>
      <c r="F60" s="3">
        <v>0.3</v>
      </c>
      <c r="G60" s="34"/>
      <c r="H60" s="13">
        <v>0</v>
      </c>
      <c r="I60" s="29">
        <f t="shared" si="13"/>
        <v>0</v>
      </c>
      <c r="J60" s="30">
        <f t="shared" si="14"/>
        <v>0</v>
      </c>
      <c r="K60" s="93">
        <f t="shared" si="0"/>
        <v>11550</v>
      </c>
      <c r="L60" s="93">
        <f t="shared" si="1"/>
        <v>8470</v>
      </c>
      <c r="M60" s="93">
        <f t="shared" si="2"/>
        <v>8085</v>
      </c>
      <c r="N60" s="64">
        <v>7700</v>
      </c>
      <c r="O60" s="69">
        <v>3756</v>
      </c>
      <c r="P60" s="132">
        <f t="shared" si="3"/>
        <v>3944</v>
      </c>
      <c r="Q60" s="133"/>
      <c r="R60" s="218">
        <f t="shared" si="4"/>
        <v>12705</v>
      </c>
      <c r="S60" s="218">
        <f t="shared" si="6"/>
        <v>9317</v>
      </c>
      <c r="T60" s="218">
        <f t="shared" si="7"/>
        <v>8893.5</v>
      </c>
      <c r="U60" s="111">
        <f t="shared" si="18"/>
        <v>8470</v>
      </c>
      <c r="V60" s="108">
        <f t="shared" si="19"/>
        <v>4131.6000000000004</v>
      </c>
      <c r="W60" s="79">
        <f t="shared" si="17"/>
        <v>4338.3999999999996</v>
      </c>
      <c r="X60" s="86">
        <v>3429</v>
      </c>
      <c r="Y60" s="244">
        <f t="shared" si="15"/>
        <v>4157</v>
      </c>
      <c r="Z60" s="245">
        <v>4313</v>
      </c>
    </row>
    <row r="61" spans="1:26" ht="13.5" thickBot="1" x14ac:dyDescent="0.25">
      <c r="A61" s="718"/>
      <c r="B61" s="173" t="s">
        <v>238</v>
      </c>
      <c r="C61" s="174" t="s">
        <v>99</v>
      </c>
      <c r="D61" s="175" t="s">
        <v>283</v>
      </c>
      <c r="E61" s="176">
        <v>36</v>
      </c>
      <c r="F61" s="176">
        <v>0.2</v>
      </c>
      <c r="G61" s="177"/>
      <c r="H61" s="178">
        <v>0</v>
      </c>
      <c r="I61" s="179">
        <f t="shared" si="13"/>
        <v>0</v>
      </c>
      <c r="J61" s="180">
        <f t="shared" si="14"/>
        <v>0</v>
      </c>
      <c r="K61" s="139">
        <f t="shared" si="0"/>
        <v>12450</v>
      </c>
      <c r="L61" s="139">
        <f t="shared" si="1"/>
        <v>9130</v>
      </c>
      <c r="M61" s="139">
        <f t="shared" si="2"/>
        <v>8715</v>
      </c>
      <c r="N61" s="140">
        <v>8300</v>
      </c>
      <c r="O61" s="141">
        <v>4356</v>
      </c>
      <c r="P61" s="142">
        <f t="shared" si="3"/>
        <v>3944</v>
      </c>
      <c r="Q61" s="143"/>
      <c r="R61" s="219">
        <f t="shared" si="4"/>
        <v>13695</v>
      </c>
      <c r="S61" s="219">
        <f t="shared" si="6"/>
        <v>10043</v>
      </c>
      <c r="T61" s="219">
        <f t="shared" si="7"/>
        <v>9586.5</v>
      </c>
      <c r="U61" s="144">
        <f t="shared" si="18"/>
        <v>9130</v>
      </c>
      <c r="V61" s="108">
        <f t="shared" si="19"/>
        <v>4791.6000000000004</v>
      </c>
      <c r="W61" s="79">
        <f t="shared" si="17"/>
        <v>4338.3999999999996</v>
      </c>
      <c r="X61" s="86">
        <v>3429</v>
      </c>
      <c r="Y61" s="244">
        <f t="shared" si="15"/>
        <v>4817</v>
      </c>
      <c r="Z61" s="245">
        <v>4313</v>
      </c>
    </row>
    <row r="62" spans="1:26" ht="13.5" hidden="1" thickTop="1" x14ac:dyDescent="0.2">
      <c r="A62" s="717" t="s">
        <v>139</v>
      </c>
      <c r="B62" s="160" t="s">
        <v>478</v>
      </c>
      <c r="C62" s="161" t="s">
        <v>9</v>
      </c>
      <c r="D62" s="161"/>
      <c r="E62" s="162">
        <v>19.399999999999999</v>
      </c>
      <c r="F62" s="163">
        <v>0.1</v>
      </c>
      <c r="G62" s="163">
        <v>10</v>
      </c>
      <c r="H62" s="164">
        <v>0</v>
      </c>
      <c r="I62" s="165">
        <f t="shared" si="13"/>
        <v>0</v>
      </c>
      <c r="J62" s="166">
        <f t="shared" si="14"/>
        <v>0</v>
      </c>
      <c r="K62" s="167">
        <f t="shared" si="0"/>
        <v>3000</v>
      </c>
      <c r="L62" s="167">
        <f t="shared" si="1"/>
        <v>2200</v>
      </c>
      <c r="M62" s="167">
        <f t="shared" si="2"/>
        <v>2100</v>
      </c>
      <c r="N62" s="168">
        <v>2000</v>
      </c>
      <c r="O62" s="169"/>
      <c r="P62" s="170">
        <f t="shared" si="3"/>
        <v>2000</v>
      </c>
      <c r="Q62" s="171"/>
      <c r="R62" s="221">
        <f t="shared" si="4"/>
        <v>3300</v>
      </c>
      <c r="S62" s="221">
        <f t="shared" si="6"/>
        <v>2420</v>
      </c>
      <c r="T62" s="221">
        <f t="shared" si="7"/>
        <v>2310</v>
      </c>
      <c r="U62" s="172">
        <f t="shared" si="18"/>
        <v>2200</v>
      </c>
      <c r="V62" s="108"/>
      <c r="W62" s="79"/>
      <c r="X62" s="86"/>
      <c r="Y62" s="244">
        <f t="shared" si="15"/>
        <v>2200</v>
      </c>
      <c r="Z62" s="245"/>
    </row>
    <row r="63" spans="1:26" ht="13.5" hidden="1" thickTop="1" x14ac:dyDescent="0.2">
      <c r="A63" s="710"/>
      <c r="B63" s="14" t="s">
        <v>479</v>
      </c>
      <c r="C63" s="8" t="s">
        <v>0</v>
      </c>
      <c r="D63" s="8"/>
      <c r="E63" s="5">
        <v>23.5</v>
      </c>
      <c r="F63" s="3">
        <v>0.1</v>
      </c>
      <c r="G63" s="3">
        <v>10</v>
      </c>
      <c r="H63" s="13">
        <v>0</v>
      </c>
      <c r="I63" s="29">
        <f t="shared" si="13"/>
        <v>0</v>
      </c>
      <c r="J63" s="30">
        <f t="shared" si="14"/>
        <v>0</v>
      </c>
      <c r="K63" s="93">
        <f t="shared" si="0"/>
        <v>3300</v>
      </c>
      <c r="L63" s="93">
        <f t="shared" si="1"/>
        <v>2420</v>
      </c>
      <c r="M63" s="93">
        <f t="shared" si="2"/>
        <v>2310</v>
      </c>
      <c r="N63" s="64">
        <v>2200</v>
      </c>
      <c r="O63" s="69"/>
      <c r="P63" s="132">
        <f t="shared" si="3"/>
        <v>2200</v>
      </c>
      <c r="Q63" s="133"/>
      <c r="R63" s="218">
        <f t="shared" si="4"/>
        <v>3630</v>
      </c>
      <c r="S63" s="218">
        <f t="shared" si="6"/>
        <v>2662</v>
      </c>
      <c r="T63" s="218">
        <f t="shared" si="7"/>
        <v>2541</v>
      </c>
      <c r="U63" s="111">
        <f t="shared" si="18"/>
        <v>2420</v>
      </c>
      <c r="V63" s="108"/>
      <c r="W63" s="79"/>
      <c r="X63" s="86"/>
      <c r="Y63" s="244">
        <f t="shared" si="15"/>
        <v>2420</v>
      </c>
      <c r="Z63" s="245"/>
    </row>
    <row r="64" spans="1:26" ht="13.5" hidden="1" thickTop="1" x14ac:dyDescent="0.2">
      <c r="A64" s="710"/>
      <c r="B64" s="14" t="s">
        <v>480</v>
      </c>
      <c r="C64" s="8" t="s">
        <v>15</v>
      </c>
      <c r="D64" s="8"/>
      <c r="E64" s="5">
        <v>25.5</v>
      </c>
      <c r="F64" s="3">
        <v>0.2</v>
      </c>
      <c r="G64" s="3">
        <v>10</v>
      </c>
      <c r="H64" s="13">
        <v>0</v>
      </c>
      <c r="I64" s="29">
        <f t="shared" si="13"/>
        <v>0</v>
      </c>
      <c r="J64" s="30">
        <f t="shared" si="14"/>
        <v>0</v>
      </c>
      <c r="K64" s="93">
        <f t="shared" si="0"/>
        <v>3750</v>
      </c>
      <c r="L64" s="93">
        <f t="shared" si="1"/>
        <v>2750</v>
      </c>
      <c r="M64" s="93">
        <f t="shared" si="2"/>
        <v>2625</v>
      </c>
      <c r="N64" s="64">
        <v>2500</v>
      </c>
      <c r="O64" s="69"/>
      <c r="P64" s="132">
        <f t="shared" si="3"/>
        <v>2500</v>
      </c>
      <c r="Q64" s="133"/>
      <c r="R64" s="218">
        <f t="shared" si="4"/>
        <v>4125</v>
      </c>
      <c r="S64" s="218">
        <f t="shared" si="6"/>
        <v>3025.0000000000005</v>
      </c>
      <c r="T64" s="218">
        <f t="shared" si="7"/>
        <v>2887.5</v>
      </c>
      <c r="U64" s="111">
        <f t="shared" si="18"/>
        <v>2750</v>
      </c>
      <c r="V64" s="108"/>
      <c r="W64" s="79"/>
      <c r="X64" s="86"/>
      <c r="Y64" s="244">
        <f t="shared" si="15"/>
        <v>2750</v>
      </c>
      <c r="Z64" s="245"/>
    </row>
    <row r="65" spans="1:26" ht="13.5" hidden="1" thickTop="1" x14ac:dyDescent="0.2">
      <c r="A65" s="710"/>
      <c r="B65" s="14" t="s">
        <v>307</v>
      </c>
      <c r="C65" s="8" t="s">
        <v>14</v>
      </c>
      <c r="D65" s="8"/>
      <c r="E65" s="5">
        <v>26</v>
      </c>
      <c r="F65" s="3">
        <v>0.2</v>
      </c>
      <c r="G65" s="3">
        <v>10</v>
      </c>
      <c r="H65" s="13">
        <v>0</v>
      </c>
      <c r="I65" s="29">
        <f t="shared" si="13"/>
        <v>0</v>
      </c>
      <c r="J65" s="30">
        <f t="shared" si="14"/>
        <v>0</v>
      </c>
      <c r="K65" s="93">
        <f t="shared" si="0"/>
        <v>4200</v>
      </c>
      <c r="L65" s="93">
        <f t="shared" si="1"/>
        <v>3080.0000000000005</v>
      </c>
      <c r="M65" s="93">
        <f t="shared" si="2"/>
        <v>2940</v>
      </c>
      <c r="N65" s="64">
        <v>2800</v>
      </c>
      <c r="O65" s="69"/>
      <c r="P65" s="132">
        <f t="shared" si="3"/>
        <v>2800</v>
      </c>
      <c r="Q65" s="133"/>
      <c r="R65" s="218">
        <f t="shared" si="4"/>
        <v>4620.0000000000009</v>
      </c>
      <c r="S65" s="218">
        <f t="shared" si="6"/>
        <v>3388.0000000000009</v>
      </c>
      <c r="T65" s="218">
        <f t="shared" si="7"/>
        <v>3234.0000000000005</v>
      </c>
      <c r="U65" s="111">
        <f t="shared" si="18"/>
        <v>3080.0000000000005</v>
      </c>
      <c r="V65" s="108"/>
      <c r="W65" s="79"/>
      <c r="X65" s="86"/>
      <c r="Y65" s="244">
        <f t="shared" si="15"/>
        <v>3080.0000000000005</v>
      </c>
      <c r="Z65" s="245"/>
    </row>
    <row r="66" spans="1:26" ht="13.5" hidden="1" thickTop="1" x14ac:dyDescent="0.2">
      <c r="A66" s="710"/>
      <c r="B66" s="14" t="s">
        <v>481</v>
      </c>
      <c r="C66" s="8" t="s">
        <v>14</v>
      </c>
      <c r="D66" s="8"/>
      <c r="E66" s="5">
        <v>26</v>
      </c>
      <c r="F66" s="3">
        <v>0.2</v>
      </c>
      <c r="G66" s="3">
        <v>10</v>
      </c>
      <c r="H66" s="13">
        <v>0</v>
      </c>
      <c r="I66" s="29">
        <f t="shared" si="13"/>
        <v>0</v>
      </c>
      <c r="J66" s="30">
        <f t="shared" si="14"/>
        <v>0</v>
      </c>
      <c r="K66" s="93">
        <f t="shared" si="0"/>
        <v>3600</v>
      </c>
      <c r="L66" s="93">
        <f t="shared" si="1"/>
        <v>2640</v>
      </c>
      <c r="M66" s="93">
        <f t="shared" si="2"/>
        <v>2520</v>
      </c>
      <c r="N66" s="64">
        <v>2400</v>
      </c>
      <c r="O66" s="69"/>
      <c r="P66" s="132">
        <f t="shared" si="3"/>
        <v>2400</v>
      </c>
      <c r="Q66" s="133"/>
      <c r="R66" s="218">
        <f t="shared" si="4"/>
        <v>3960</v>
      </c>
      <c r="S66" s="218">
        <f t="shared" si="6"/>
        <v>2904.0000000000005</v>
      </c>
      <c r="T66" s="218">
        <f t="shared" si="7"/>
        <v>2772</v>
      </c>
      <c r="U66" s="111">
        <f t="shared" si="18"/>
        <v>2640</v>
      </c>
      <c r="V66" s="108"/>
      <c r="W66" s="79"/>
      <c r="X66" s="86"/>
      <c r="Y66" s="244">
        <f t="shared" si="15"/>
        <v>2640</v>
      </c>
      <c r="Z66" s="245"/>
    </row>
    <row r="67" spans="1:26" ht="13.5" hidden="1" thickTop="1" x14ac:dyDescent="0.2">
      <c r="A67" s="710"/>
      <c r="B67" s="14" t="s">
        <v>381</v>
      </c>
      <c r="C67" s="7" t="s">
        <v>76</v>
      </c>
      <c r="D67" s="7"/>
      <c r="E67" s="5">
        <v>14.5</v>
      </c>
      <c r="F67" s="3">
        <v>0.27</v>
      </c>
      <c r="G67" s="3">
        <v>6</v>
      </c>
      <c r="H67" s="13">
        <v>0</v>
      </c>
      <c r="I67" s="29">
        <f t="shared" si="13"/>
        <v>0</v>
      </c>
      <c r="J67" s="30">
        <f t="shared" si="14"/>
        <v>0</v>
      </c>
      <c r="K67" s="93">
        <f t="shared" si="0"/>
        <v>8100</v>
      </c>
      <c r="L67" s="93">
        <f t="shared" si="1"/>
        <v>5940.0000000000009</v>
      </c>
      <c r="M67" s="93">
        <f t="shared" si="2"/>
        <v>5670</v>
      </c>
      <c r="N67" s="64">
        <v>5400</v>
      </c>
      <c r="O67" s="69"/>
      <c r="P67" s="132">
        <f t="shared" si="3"/>
        <v>5400</v>
      </c>
      <c r="Q67" s="133"/>
      <c r="R67" s="218">
        <f t="shared" si="4"/>
        <v>8910.0000000000018</v>
      </c>
      <c r="S67" s="218">
        <f t="shared" si="6"/>
        <v>6534.0000000000018</v>
      </c>
      <c r="T67" s="218">
        <f t="shared" si="7"/>
        <v>6237.0000000000009</v>
      </c>
      <c r="U67" s="111">
        <f t="shared" si="18"/>
        <v>5940.0000000000009</v>
      </c>
      <c r="V67" s="108"/>
      <c r="W67" s="79"/>
      <c r="X67" s="86"/>
      <c r="Y67" s="244">
        <f t="shared" si="15"/>
        <v>5940.0000000000009</v>
      </c>
      <c r="Z67" s="245"/>
    </row>
    <row r="68" spans="1:26" ht="13.5" hidden="1" thickTop="1" x14ac:dyDescent="0.2">
      <c r="A68" s="710"/>
      <c r="B68" s="14" t="s">
        <v>482</v>
      </c>
      <c r="C68" s="7" t="s">
        <v>76</v>
      </c>
      <c r="D68" s="7"/>
      <c r="E68" s="5">
        <v>14.5</v>
      </c>
      <c r="F68" s="3">
        <v>0.27</v>
      </c>
      <c r="G68" s="3">
        <v>6</v>
      </c>
      <c r="H68" s="13">
        <v>0</v>
      </c>
      <c r="I68" s="29">
        <f t="shared" si="13"/>
        <v>0</v>
      </c>
      <c r="J68" s="30">
        <f t="shared" si="14"/>
        <v>0</v>
      </c>
      <c r="K68" s="93">
        <f t="shared" ref="K68:K131" si="20">N68*1.5</f>
        <v>6870</v>
      </c>
      <c r="L68" s="93">
        <f t="shared" ref="L68:L131" si="21">N68*1.1</f>
        <v>5038</v>
      </c>
      <c r="M68" s="93">
        <f t="shared" ref="M68:M131" si="22">N68*1.05</f>
        <v>4809</v>
      </c>
      <c r="N68" s="64">
        <v>4580</v>
      </c>
      <c r="O68" s="69"/>
      <c r="P68" s="132">
        <f t="shared" ref="P68:P131" si="23">N68-O68</f>
        <v>4580</v>
      </c>
      <c r="Q68" s="133"/>
      <c r="R68" s="218">
        <f t="shared" ref="R68:R131" si="24">U68*1.5</f>
        <v>7557</v>
      </c>
      <c r="S68" s="218">
        <f t="shared" si="6"/>
        <v>5541.8</v>
      </c>
      <c r="T68" s="218">
        <f t="shared" si="7"/>
        <v>5289.9000000000005</v>
      </c>
      <c r="U68" s="111">
        <v>5038</v>
      </c>
      <c r="V68" s="108"/>
      <c r="W68" s="79"/>
      <c r="X68" s="86"/>
      <c r="Y68" s="244">
        <f t="shared" ref="Y68:Y99" si="25">U68-Z68</f>
        <v>5038</v>
      </c>
      <c r="Z68" s="245"/>
    </row>
    <row r="69" spans="1:26" ht="13.5" thickTop="1" x14ac:dyDescent="0.2">
      <c r="A69" s="710"/>
      <c r="B69" s="14" t="s">
        <v>239</v>
      </c>
      <c r="C69" s="7" t="s">
        <v>101</v>
      </c>
      <c r="D69" s="44" t="s">
        <v>281</v>
      </c>
      <c r="E69" s="5">
        <v>19.399999999999999</v>
      </c>
      <c r="F69" s="3">
        <v>0.22</v>
      </c>
      <c r="G69" s="3"/>
      <c r="H69" s="13">
        <v>0</v>
      </c>
      <c r="I69" s="29">
        <f t="shared" si="13"/>
        <v>0</v>
      </c>
      <c r="J69" s="30">
        <f t="shared" si="14"/>
        <v>0</v>
      </c>
      <c r="K69" s="93">
        <f t="shared" si="20"/>
        <v>8850</v>
      </c>
      <c r="L69" s="93">
        <f t="shared" si="21"/>
        <v>6490.0000000000009</v>
      </c>
      <c r="M69" s="93">
        <f t="shared" si="22"/>
        <v>6195</v>
      </c>
      <c r="N69" s="64">
        <v>5900</v>
      </c>
      <c r="O69" s="69">
        <v>3340</v>
      </c>
      <c r="P69" s="132">
        <f t="shared" si="23"/>
        <v>2560</v>
      </c>
      <c r="Q69" s="133"/>
      <c r="R69" s="218">
        <f t="shared" si="24"/>
        <v>9735.0000000000018</v>
      </c>
      <c r="S69" s="218">
        <f t="shared" ref="S69:S132" si="26">U69*1.1</f>
        <v>7139.0000000000018</v>
      </c>
      <c r="T69" s="218">
        <f t="shared" ref="T69:T132" si="27">U69*1.05</f>
        <v>6814.5000000000009</v>
      </c>
      <c r="U69" s="111">
        <f t="shared" ref="U69:V74" si="28">N69*1.1</f>
        <v>6490.0000000000009</v>
      </c>
      <c r="V69" s="108">
        <f t="shared" si="28"/>
        <v>3674.0000000000005</v>
      </c>
      <c r="W69" s="79">
        <f t="shared" si="17"/>
        <v>2816.0000000000005</v>
      </c>
      <c r="X69" s="86">
        <v>2293</v>
      </c>
      <c r="Y69" s="244">
        <f t="shared" si="25"/>
        <v>3607.0000000000009</v>
      </c>
      <c r="Z69" s="245">
        <v>2883</v>
      </c>
    </row>
    <row r="70" spans="1:26" ht="12.75" x14ac:dyDescent="0.2">
      <c r="A70" s="710"/>
      <c r="B70" s="14" t="s">
        <v>483</v>
      </c>
      <c r="C70" s="7" t="s">
        <v>101</v>
      </c>
      <c r="D70" s="44" t="s">
        <v>281</v>
      </c>
      <c r="E70" s="5">
        <v>19.399999999999999</v>
      </c>
      <c r="F70" s="3">
        <v>0.22</v>
      </c>
      <c r="G70" s="3"/>
      <c r="H70" s="13">
        <v>0</v>
      </c>
      <c r="I70" s="29">
        <f t="shared" si="13"/>
        <v>0</v>
      </c>
      <c r="J70" s="30">
        <f t="shared" si="14"/>
        <v>0</v>
      </c>
      <c r="K70" s="93">
        <f t="shared" si="20"/>
        <v>8250</v>
      </c>
      <c r="L70" s="93">
        <f t="shared" si="21"/>
        <v>6050.0000000000009</v>
      </c>
      <c r="M70" s="93">
        <f t="shared" si="22"/>
        <v>5775</v>
      </c>
      <c r="N70" s="64">
        <v>5500</v>
      </c>
      <c r="O70" s="69">
        <v>2940</v>
      </c>
      <c r="P70" s="132">
        <f t="shared" si="23"/>
        <v>2560</v>
      </c>
      <c r="Q70" s="133"/>
      <c r="R70" s="218">
        <f t="shared" si="24"/>
        <v>9075.0000000000018</v>
      </c>
      <c r="S70" s="218">
        <f t="shared" si="26"/>
        <v>6655.0000000000018</v>
      </c>
      <c r="T70" s="218">
        <f t="shared" si="27"/>
        <v>6352.5000000000009</v>
      </c>
      <c r="U70" s="111">
        <f t="shared" si="28"/>
        <v>6050.0000000000009</v>
      </c>
      <c r="V70" s="108">
        <f t="shared" si="28"/>
        <v>3234.0000000000005</v>
      </c>
      <c r="W70" s="79">
        <f t="shared" si="17"/>
        <v>2816.0000000000005</v>
      </c>
      <c r="X70" s="86">
        <v>2293</v>
      </c>
      <c r="Y70" s="244">
        <f t="shared" si="25"/>
        <v>3167.0000000000009</v>
      </c>
      <c r="Z70" s="245">
        <v>2883</v>
      </c>
    </row>
    <row r="71" spans="1:26" ht="12.75" x14ac:dyDescent="0.2">
      <c r="A71" s="710"/>
      <c r="B71" s="14" t="s">
        <v>240</v>
      </c>
      <c r="C71" s="7" t="s">
        <v>102</v>
      </c>
      <c r="D71" s="44" t="s">
        <v>282</v>
      </c>
      <c r="E71" s="3">
        <v>32</v>
      </c>
      <c r="F71" s="3">
        <v>0.24</v>
      </c>
      <c r="G71" s="34"/>
      <c r="H71" s="13">
        <v>0</v>
      </c>
      <c r="I71" s="29">
        <f t="shared" si="13"/>
        <v>0</v>
      </c>
      <c r="J71" s="30">
        <f t="shared" si="14"/>
        <v>0</v>
      </c>
      <c r="K71" s="93">
        <f t="shared" si="20"/>
        <v>9525</v>
      </c>
      <c r="L71" s="93">
        <f t="shared" si="21"/>
        <v>6985.0000000000009</v>
      </c>
      <c r="M71" s="93">
        <f t="shared" si="22"/>
        <v>6667.5</v>
      </c>
      <c r="N71" s="64">
        <v>6350</v>
      </c>
      <c r="O71" s="69">
        <v>3280</v>
      </c>
      <c r="P71" s="132">
        <f t="shared" si="23"/>
        <v>3070</v>
      </c>
      <c r="Q71" s="133"/>
      <c r="R71" s="218">
        <f t="shared" si="24"/>
        <v>10477.500000000002</v>
      </c>
      <c r="S71" s="218">
        <f t="shared" si="26"/>
        <v>7683.5000000000018</v>
      </c>
      <c r="T71" s="218">
        <f t="shared" si="27"/>
        <v>7334.2500000000009</v>
      </c>
      <c r="U71" s="111">
        <f t="shared" si="28"/>
        <v>6985.0000000000009</v>
      </c>
      <c r="V71" s="108">
        <f t="shared" si="28"/>
        <v>3608.0000000000005</v>
      </c>
      <c r="W71" s="79">
        <f t="shared" si="17"/>
        <v>3377.0000000000005</v>
      </c>
      <c r="X71" s="86">
        <v>2736</v>
      </c>
      <c r="Y71" s="244">
        <f t="shared" si="25"/>
        <v>3545.0000000000009</v>
      </c>
      <c r="Z71" s="245">
        <v>3440</v>
      </c>
    </row>
    <row r="72" spans="1:26" ht="12.75" x14ac:dyDescent="0.2">
      <c r="A72" s="710"/>
      <c r="B72" s="14" t="s">
        <v>484</v>
      </c>
      <c r="C72" s="7" t="s">
        <v>102</v>
      </c>
      <c r="D72" s="44" t="s">
        <v>282</v>
      </c>
      <c r="E72" s="3">
        <v>32</v>
      </c>
      <c r="F72" s="3">
        <v>0.24</v>
      </c>
      <c r="G72" s="34"/>
      <c r="H72" s="13">
        <v>0</v>
      </c>
      <c r="I72" s="29">
        <f t="shared" si="13"/>
        <v>0</v>
      </c>
      <c r="J72" s="30">
        <f t="shared" si="14"/>
        <v>0</v>
      </c>
      <c r="K72" s="93">
        <f t="shared" si="20"/>
        <v>8775</v>
      </c>
      <c r="L72" s="93">
        <f t="shared" si="21"/>
        <v>6435.0000000000009</v>
      </c>
      <c r="M72" s="93">
        <f t="shared" si="22"/>
        <v>6142.5</v>
      </c>
      <c r="N72" s="64">
        <v>5850</v>
      </c>
      <c r="O72" s="69">
        <v>2780</v>
      </c>
      <c r="P72" s="132">
        <f t="shared" si="23"/>
        <v>3070</v>
      </c>
      <c r="Q72" s="133"/>
      <c r="R72" s="218">
        <f t="shared" si="24"/>
        <v>9652.5000000000018</v>
      </c>
      <c r="S72" s="218">
        <f t="shared" si="26"/>
        <v>7078.5000000000018</v>
      </c>
      <c r="T72" s="218">
        <f t="shared" si="27"/>
        <v>6756.7500000000009</v>
      </c>
      <c r="U72" s="111">
        <f t="shared" si="28"/>
        <v>6435.0000000000009</v>
      </c>
      <c r="V72" s="108">
        <f t="shared" si="28"/>
        <v>3058.0000000000005</v>
      </c>
      <c r="W72" s="79">
        <f t="shared" si="17"/>
        <v>3377.0000000000005</v>
      </c>
      <c r="X72" s="86">
        <v>2736</v>
      </c>
      <c r="Y72" s="244">
        <f t="shared" si="25"/>
        <v>2995.0000000000009</v>
      </c>
      <c r="Z72" s="245">
        <v>3440</v>
      </c>
    </row>
    <row r="73" spans="1:26" ht="12.75" x14ac:dyDescent="0.2">
      <c r="A73" s="710"/>
      <c r="B73" s="14" t="s">
        <v>241</v>
      </c>
      <c r="C73" s="7" t="s">
        <v>103</v>
      </c>
      <c r="D73" s="44" t="s">
        <v>283</v>
      </c>
      <c r="E73" s="3">
        <v>35</v>
      </c>
      <c r="F73" s="3">
        <v>0.3</v>
      </c>
      <c r="G73" s="34"/>
      <c r="H73" s="13">
        <v>0</v>
      </c>
      <c r="I73" s="29">
        <f t="shared" si="13"/>
        <v>0</v>
      </c>
      <c r="J73" s="30">
        <f t="shared" si="14"/>
        <v>0</v>
      </c>
      <c r="K73" s="93">
        <f t="shared" si="20"/>
        <v>14250</v>
      </c>
      <c r="L73" s="93">
        <f t="shared" si="21"/>
        <v>10450</v>
      </c>
      <c r="M73" s="93">
        <f t="shared" si="22"/>
        <v>9975</v>
      </c>
      <c r="N73" s="64">
        <v>9500</v>
      </c>
      <c r="O73" s="69">
        <v>5556</v>
      </c>
      <c r="P73" s="132">
        <f t="shared" si="23"/>
        <v>3944</v>
      </c>
      <c r="Q73" s="133"/>
      <c r="R73" s="218">
        <f t="shared" si="24"/>
        <v>15675</v>
      </c>
      <c r="S73" s="218">
        <f t="shared" si="26"/>
        <v>11495.000000000002</v>
      </c>
      <c r="T73" s="218">
        <f t="shared" si="27"/>
        <v>10972.5</v>
      </c>
      <c r="U73" s="111">
        <f t="shared" si="28"/>
        <v>10450</v>
      </c>
      <c r="V73" s="108">
        <f t="shared" si="28"/>
        <v>6111.6</v>
      </c>
      <c r="W73" s="79">
        <f t="shared" si="17"/>
        <v>4338.3999999999996</v>
      </c>
      <c r="X73" s="86">
        <v>3429</v>
      </c>
      <c r="Y73" s="244">
        <f t="shared" si="25"/>
        <v>6137</v>
      </c>
      <c r="Z73" s="245">
        <v>4313</v>
      </c>
    </row>
    <row r="74" spans="1:26" ht="12.75" x14ac:dyDescent="0.2">
      <c r="A74" s="710"/>
      <c r="B74" s="14" t="s">
        <v>485</v>
      </c>
      <c r="C74" s="7" t="s">
        <v>103</v>
      </c>
      <c r="D74" s="44" t="s">
        <v>283</v>
      </c>
      <c r="E74" s="3">
        <v>35</v>
      </c>
      <c r="F74" s="3">
        <v>0.3</v>
      </c>
      <c r="G74" s="34"/>
      <c r="H74" s="13">
        <v>0</v>
      </c>
      <c r="I74" s="29">
        <f t="shared" si="13"/>
        <v>0</v>
      </c>
      <c r="J74" s="30">
        <f t="shared" si="14"/>
        <v>0</v>
      </c>
      <c r="K74" s="93">
        <f t="shared" si="20"/>
        <v>13200</v>
      </c>
      <c r="L74" s="93">
        <f t="shared" si="21"/>
        <v>9680</v>
      </c>
      <c r="M74" s="93">
        <f t="shared" si="22"/>
        <v>9240</v>
      </c>
      <c r="N74" s="64">
        <v>8800</v>
      </c>
      <c r="O74" s="69">
        <v>4856.7</v>
      </c>
      <c r="P74" s="132">
        <f t="shared" si="23"/>
        <v>3943.3</v>
      </c>
      <c r="Q74" s="133"/>
      <c r="R74" s="218">
        <f t="shared" si="24"/>
        <v>14520</v>
      </c>
      <c r="S74" s="218">
        <f t="shared" si="26"/>
        <v>10648</v>
      </c>
      <c r="T74" s="218">
        <f t="shared" si="27"/>
        <v>10164</v>
      </c>
      <c r="U74" s="111">
        <f t="shared" si="28"/>
        <v>9680</v>
      </c>
      <c r="V74" s="108">
        <f t="shared" si="28"/>
        <v>5342.37</v>
      </c>
      <c r="W74" s="79">
        <f t="shared" si="17"/>
        <v>4337.63</v>
      </c>
      <c r="X74" s="86">
        <v>3429</v>
      </c>
      <c r="Y74" s="244">
        <f t="shared" si="25"/>
        <v>5367</v>
      </c>
      <c r="Z74" s="245">
        <v>4313</v>
      </c>
    </row>
    <row r="75" spans="1:26" ht="12.75" customHeight="1" x14ac:dyDescent="0.2">
      <c r="A75" s="710"/>
      <c r="B75" s="14" t="s">
        <v>242</v>
      </c>
      <c r="C75" s="7" t="s">
        <v>100</v>
      </c>
      <c r="D75" s="251" t="s">
        <v>290</v>
      </c>
      <c r="E75" s="5">
        <v>43.5</v>
      </c>
      <c r="F75" s="3">
        <v>0.42</v>
      </c>
      <c r="G75" s="3"/>
      <c r="H75" s="13">
        <v>0</v>
      </c>
      <c r="I75" s="29">
        <f t="shared" si="13"/>
        <v>0</v>
      </c>
      <c r="J75" s="30">
        <f t="shared" si="14"/>
        <v>0</v>
      </c>
      <c r="K75" s="93">
        <f t="shared" si="20"/>
        <v>18750</v>
      </c>
      <c r="L75" s="93">
        <f t="shared" si="21"/>
        <v>13750.000000000002</v>
      </c>
      <c r="M75" s="93">
        <f t="shared" si="22"/>
        <v>13125</v>
      </c>
      <c r="N75" s="64">
        <v>12500</v>
      </c>
      <c r="O75" s="69">
        <v>5956.5</v>
      </c>
      <c r="P75" s="132">
        <f t="shared" si="23"/>
        <v>6543.5</v>
      </c>
      <c r="Q75" s="133"/>
      <c r="R75" s="218">
        <f t="shared" si="24"/>
        <v>23575.5</v>
      </c>
      <c r="S75" s="218">
        <f t="shared" si="26"/>
        <v>17288.7</v>
      </c>
      <c r="T75" s="218">
        <f t="shared" si="27"/>
        <v>16502.850000000002</v>
      </c>
      <c r="U75" s="249">
        <v>15717</v>
      </c>
      <c r="V75" s="108">
        <f>O75*1.1</f>
        <v>6552.1500000000005</v>
      </c>
      <c r="W75" s="79">
        <f t="shared" si="17"/>
        <v>9164.8499999999985</v>
      </c>
      <c r="X75" s="86">
        <v>7050</v>
      </c>
      <c r="Y75" s="244">
        <f t="shared" si="25"/>
        <v>6552</v>
      </c>
      <c r="Z75" s="245">
        <v>9165</v>
      </c>
    </row>
    <row r="76" spans="1:26" ht="15" customHeight="1" thickBot="1" x14ac:dyDescent="0.25">
      <c r="A76" s="718"/>
      <c r="B76" s="173" t="s">
        <v>486</v>
      </c>
      <c r="C76" s="174" t="s">
        <v>100</v>
      </c>
      <c r="D76" s="252" t="s">
        <v>290</v>
      </c>
      <c r="E76" s="136">
        <v>43.5</v>
      </c>
      <c r="F76" s="176">
        <v>0.42</v>
      </c>
      <c r="G76" s="176"/>
      <c r="H76" s="178">
        <v>0</v>
      </c>
      <c r="I76" s="179">
        <f t="shared" si="13"/>
        <v>0</v>
      </c>
      <c r="J76" s="180">
        <f t="shared" si="14"/>
        <v>0</v>
      </c>
      <c r="K76" s="139">
        <f t="shared" si="20"/>
        <v>17700</v>
      </c>
      <c r="L76" s="139">
        <f t="shared" si="21"/>
        <v>12980.000000000002</v>
      </c>
      <c r="M76" s="139">
        <f t="shared" si="22"/>
        <v>12390</v>
      </c>
      <c r="N76" s="140">
        <v>11800</v>
      </c>
      <c r="O76" s="141">
        <v>5256.5</v>
      </c>
      <c r="P76" s="142">
        <f t="shared" si="23"/>
        <v>6543.5</v>
      </c>
      <c r="Q76" s="143"/>
      <c r="R76" s="219">
        <f t="shared" si="24"/>
        <v>22420.5</v>
      </c>
      <c r="S76" s="219">
        <f t="shared" si="26"/>
        <v>16441.7</v>
      </c>
      <c r="T76" s="219">
        <f t="shared" si="27"/>
        <v>15694.35</v>
      </c>
      <c r="U76" s="250">
        <v>14947</v>
      </c>
      <c r="V76" s="108">
        <f>O76*1.1</f>
        <v>5782.1500000000005</v>
      </c>
      <c r="W76" s="79">
        <f t="shared" si="17"/>
        <v>9164.8499999999985</v>
      </c>
      <c r="X76" s="86">
        <v>7050</v>
      </c>
      <c r="Y76" s="244">
        <f t="shared" si="25"/>
        <v>5782</v>
      </c>
      <c r="Z76" s="245">
        <v>9165</v>
      </c>
    </row>
    <row r="77" spans="1:26" ht="13.5" hidden="1" thickTop="1" x14ac:dyDescent="0.2">
      <c r="A77" s="717" t="s">
        <v>161</v>
      </c>
      <c r="B77" s="160" t="s">
        <v>409</v>
      </c>
      <c r="C77" s="161" t="s">
        <v>13</v>
      </c>
      <c r="D77" s="161"/>
      <c r="E77" s="162">
        <v>16</v>
      </c>
      <c r="F77" s="163">
        <v>0.09</v>
      </c>
      <c r="G77" s="163">
        <v>20</v>
      </c>
      <c r="H77" s="164">
        <v>0</v>
      </c>
      <c r="I77" s="165">
        <f t="shared" si="13"/>
        <v>0</v>
      </c>
      <c r="J77" s="166">
        <f t="shared" si="14"/>
        <v>0</v>
      </c>
      <c r="K77" s="167">
        <f t="shared" si="20"/>
        <v>4125</v>
      </c>
      <c r="L77" s="167">
        <f t="shared" si="21"/>
        <v>3025.0000000000005</v>
      </c>
      <c r="M77" s="167">
        <f t="shared" si="22"/>
        <v>2887.5</v>
      </c>
      <c r="N77" s="168">
        <v>2750</v>
      </c>
      <c r="O77" s="169"/>
      <c r="P77" s="170">
        <f t="shared" si="23"/>
        <v>2750</v>
      </c>
      <c r="Q77" s="171"/>
      <c r="R77" s="221">
        <f t="shared" si="24"/>
        <v>4537.5000000000009</v>
      </c>
      <c r="S77" s="221">
        <f t="shared" si="26"/>
        <v>3327.5000000000009</v>
      </c>
      <c r="T77" s="221">
        <f t="shared" si="27"/>
        <v>3176.2500000000005</v>
      </c>
      <c r="U77" s="172">
        <f>N77*1.1</f>
        <v>3025.0000000000005</v>
      </c>
      <c r="V77" s="108"/>
      <c r="W77" s="79"/>
      <c r="X77" s="86"/>
      <c r="Y77" s="244">
        <f t="shared" si="25"/>
        <v>3025.0000000000005</v>
      </c>
      <c r="Z77" s="245"/>
    </row>
    <row r="78" spans="1:26" ht="13.5" hidden="1" thickTop="1" x14ac:dyDescent="0.2">
      <c r="A78" s="710"/>
      <c r="B78" s="14" t="s">
        <v>410</v>
      </c>
      <c r="C78" s="7" t="s">
        <v>75</v>
      </c>
      <c r="D78" s="7"/>
      <c r="E78" s="5">
        <v>33</v>
      </c>
      <c r="F78" s="3">
        <v>0.1</v>
      </c>
      <c r="G78" s="3">
        <v>6</v>
      </c>
      <c r="H78" s="13">
        <v>0</v>
      </c>
      <c r="I78" s="29">
        <f t="shared" si="13"/>
        <v>0</v>
      </c>
      <c r="J78" s="30">
        <f t="shared" si="14"/>
        <v>0</v>
      </c>
      <c r="K78" s="93">
        <f t="shared" si="20"/>
        <v>7800</v>
      </c>
      <c r="L78" s="93">
        <f t="shared" si="21"/>
        <v>5720.0000000000009</v>
      </c>
      <c r="M78" s="93">
        <f t="shared" si="22"/>
        <v>5460</v>
      </c>
      <c r="N78" s="64">
        <v>5200</v>
      </c>
      <c r="O78" s="69"/>
      <c r="P78" s="132">
        <f t="shared" si="23"/>
        <v>5200</v>
      </c>
      <c r="Q78" s="133"/>
      <c r="R78" s="218">
        <f t="shared" si="24"/>
        <v>8580.0000000000018</v>
      </c>
      <c r="S78" s="218">
        <f t="shared" si="26"/>
        <v>6292.0000000000018</v>
      </c>
      <c r="T78" s="218">
        <f t="shared" si="27"/>
        <v>6006.0000000000009</v>
      </c>
      <c r="U78" s="111">
        <f>N78*1.1</f>
        <v>5720.0000000000009</v>
      </c>
      <c r="V78" s="108"/>
      <c r="W78" s="79"/>
      <c r="X78" s="86"/>
      <c r="Y78" s="244">
        <f t="shared" si="25"/>
        <v>5720.0000000000009</v>
      </c>
      <c r="Z78" s="245"/>
    </row>
    <row r="79" spans="1:26" ht="14.25" customHeight="1" thickTop="1" thickBot="1" x14ac:dyDescent="0.25">
      <c r="A79" s="718"/>
      <c r="B79" s="173" t="s">
        <v>303</v>
      </c>
      <c r="C79" s="174" t="s">
        <v>92</v>
      </c>
      <c r="D79" s="175" t="s">
        <v>291</v>
      </c>
      <c r="E79" s="176">
        <v>35</v>
      </c>
      <c r="F79" s="176">
        <v>0.17</v>
      </c>
      <c r="G79" s="177"/>
      <c r="H79" s="178">
        <v>0</v>
      </c>
      <c r="I79" s="179">
        <f t="shared" si="13"/>
        <v>0</v>
      </c>
      <c r="J79" s="180">
        <f t="shared" si="14"/>
        <v>0</v>
      </c>
      <c r="K79" s="139">
        <f t="shared" si="20"/>
        <v>6300</v>
      </c>
      <c r="L79" s="139">
        <f t="shared" si="21"/>
        <v>4620</v>
      </c>
      <c r="M79" s="139">
        <f t="shared" si="22"/>
        <v>4410</v>
      </c>
      <c r="N79" s="140">
        <v>4200</v>
      </c>
      <c r="O79" s="141">
        <v>3093.7</v>
      </c>
      <c r="P79" s="142">
        <f t="shared" si="23"/>
        <v>1106.3000000000002</v>
      </c>
      <c r="Q79" s="143"/>
      <c r="R79" s="219">
        <f t="shared" si="24"/>
        <v>6930</v>
      </c>
      <c r="S79" s="219">
        <f t="shared" si="26"/>
        <v>5082</v>
      </c>
      <c r="T79" s="219">
        <f t="shared" si="27"/>
        <v>4851</v>
      </c>
      <c r="U79" s="144">
        <f>N79*1.1</f>
        <v>4620</v>
      </c>
      <c r="V79" s="108">
        <f>O79*1.1</f>
        <v>3403.07</v>
      </c>
      <c r="W79" s="79">
        <f t="shared" si="17"/>
        <v>1216.9299999999998</v>
      </c>
      <c r="X79" s="86">
        <v>777.2</v>
      </c>
      <c r="Y79" s="244">
        <f t="shared" si="25"/>
        <v>3474</v>
      </c>
      <c r="Z79" s="245">
        <v>1146</v>
      </c>
    </row>
    <row r="80" spans="1:26" ht="13.5" hidden="1" thickTop="1" x14ac:dyDescent="0.2">
      <c r="A80" s="719" t="s">
        <v>153</v>
      </c>
      <c r="B80" s="201" t="s">
        <v>487</v>
      </c>
      <c r="C80" s="202" t="s">
        <v>12</v>
      </c>
      <c r="D80" s="202"/>
      <c r="E80" s="203"/>
      <c r="F80" s="203">
        <v>9.5000000000000001E-2</v>
      </c>
      <c r="G80" s="203">
        <v>10</v>
      </c>
      <c r="H80" s="164">
        <v>0</v>
      </c>
      <c r="I80" s="203">
        <f t="shared" si="13"/>
        <v>0</v>
      </c>
      <c r="J80" s="204">
        <f t="shared" si="14"/>
        <v>0</v>
      </c>
      <c r="K80" s="167">
        <f t="shared" si="20"/>
        <v>3750</v>
      </c>
      <c r="L80" s="167">
        <f t="shared" si="21"/>
        <v>2750</v>
      </c>
      <c r="M80" s="167">
        <f t="shared" si="22"/>
        <v>2625</v>
      </c>
      <c r="N80" s="168">
        <v>2500</v>
      </c>
      <c r="O80" s="169"/>
      <c r="P80" s="170">
        <f t="shared" si="23"/>
        <v>2500</v>
      </c>
      <c r="Q80" s="171"/>
      <c r="R80" s="221">
        <f t="shared" si="24"/>
        <v>4125</v>
      </c>
      <c r="S80" s="221">
        <f t="shared" si="26"/>
        <v>3025.0000000000005</v>
      </c>
      <c r="T80" s="221">
        <f t="shared" si="27"/>
        <v>2887.5</v>
      </c>
      <c r="U80" s="172">
        <f>N80*1.1</f>
        <v>2750</v>
      </c>
      <c r="V80" s="108"/>
      <c r="W80" s="79"/>
      <c r="X80" s="86"/>
      <c r="Y80" s="244">
        <f t="shared" si="25"/>
        <v>2750</v>
      </c>
      <c r="Z80" s="245"/>
    </row>
    <row r="81" spans="1:26" ht="13.5" hidden="1" thickTop="1" x14ac:dyDescent="0.2">
      <c r="A81" s="713"/>
      <c r="B81" s="48" t="s">
        <v>488</v>
      </c>
      <c r="C81" s="40"/>
      <c r="D81" s="40"/>
      <c r="E81" s="36"/>
      <c r="F81" s="117"/>
      <c r="G81" s="117"/>
      <c r="H81" s="37"/>
      <c r="I81" s="38"/>
      <c r="J81" s="81"/>
      <c r="K81" s="94">
        <f>N81*1.5</f>
        <v>0</v>
      </c>
      <c r="L81" s="94">
        <f>N81*1.1</f>
        <v>0</v>
      </c>
      <c r="M81" s="94">
        <f>N81*1.05</f>
        <v>0</v>
      </c>
      <c r="N81" s="82"/>
      <c r="O81" s="83"/>
      <c r="P81" s="189">
        <f>N81-O81</f>
        <v>0</v>
      </c>
      <c r="Q81" s="190"/>
      <c r="R81" s="223">
        <f>U81*1.5</f>
        <v>5362.5</v>
      </c>
      <c r="S81" s="223">
        <f>U81*1.1</f>
        <v>3932.5000000000005</v>
      </c>
      <c r="T81" s="224">
        <f>U81*1.05</f>
        <v>3753.75</v>
      </c>
      <c r="U81" s="118">
        <v>3575</v>
      </c>
      <c r="V81" s="119">
        <f>O81*1.1</f>
        <v>0</v>
      </c>
      <c r="W81" s="89">
        <f>U81-V81</f>
        <v>3575</v>
      </c>
      <c r="X81" s="90"/>
      <c r="Y81" s="244">
        <f t="shared" si="25"/>
        <v>3575</v>
      </c>
      <c r="Z81" s="245"/>
    </row>
    <row r="82" spans="1:26" ht="13.5" hidden="1" thickTop="1" x14ac:dyDescent="0.2">
      <c r="A82" s="713"/>
      <c r="B82" s="48" t="s">
        <v>489</v>
      </c>
      <c r="C82" s="52" t="s">
        <v>75</v>
      </c>
      <c r="D82" s="52"/>
      <c r="E82" s="27"/>
      <c r="F82" s="27">
        <v>0.23</v>
      </c>
      <c r="G82" s="27">
        <v>6</v>
      </c>
      <c r="H82" s="13">
        <v>0</v>
      </c>
      <c r="I82" s="27">
        <f t="shared" si="13"/>
        <v>0</v>
      </c>
      <c r="J82" s="28">
        <f t="shared" si="14"/>
        <v>0</v>
      </c>
      <c r="K82" s="93">
        <f t="shared" si="20"/>
        <v>9750</v>
      </c>
      <c r="L82" s="93">
        <f t="shared" si="21"/>
        <v>7150.0000000000009</v>
      </c>
      <c r="M82" s="93">
        <f t="shared" si="22"/>
        <v>6825</v>
      </c>
      <c r="N82" s="64">
        <v>6500</v>
      </c>
      <c r="O82" s="69"/>
      <c r="P82" s="132">
        <f t="shared" si="23"/>
        <v>6500</v>
      </c>
      <c r="Q82" s="133"/>
      <c r="R82" s="218">
        <f t="shared" si="24"/>
        <v>10725.000000000002</v>
      </c>
      <c r="S82" s="218">
        <f t="shared" si="26"/>
        <v>7865.0000000000018</v>
      </c>
      <c r="T82" s="218">
        <f t="shared" si="27"/>
        <v>7507.5000000000009</v>
      </c>
      <c r="U82" s="111">
        <f>N82*1.1</f>
        <v>7150.0000000000009</v>
      </c>
      <c r="V82" s="108"/>
      <c r="W82" s="79"/>
      <c r="X82" s="86"/>
      <c r="Y82" s="244">
        <f t="shared" si="25"/>
        <v>7150.0000000000009</v>
      </c>
      <c r="Z82" s="245"/>
    </row>
    <row r="83" spans="1:26" ht="15" customHeight="1" thickTop="1" x14ac:dyDescent="0.2">
      <c r="A83" s="713"/>
      <c r="B83" s="48" t="s">
        <v>490</v>
      </c>
      <c r="C83" s="52" t="s">
        <v>90</v>
      </c>
      <c r="D83" s="44" t="s">
        <v>291</v>
      </c>
      <c r="E83" s="27"/>
      <c r="F83" s="27">
        <v>0.17</v>
      </c>
      <c r="G83" s="27"/>
      <c r="H83" s="13">
        <v>0</v>
      </c>
      <c r="I83" s="27">
        <f>H83*E83</f>
        <v>0</v>
      </c>
      <c r="J83" s="28">
        <f>F83*H83</f>
        <v>0</v>
      </c>
      <c r="K83" s="93">
        <f>N83*1.5</f>
        <v>12750</v>
      </c>
      <c r="L83" s="93">
        <f>N83*1.1</f>
        <v>9350</v>
      </c>
      <c r="M83" s="93">
        <f>N83*1.05</f>
        <v>8925</v>
      </c>
      <c r="N83" s="64">
        <v>8500</v>
      </c>
      <c r="O83" s="69">
        <v>7394</v>
      </c>
      <c r="P83" s="132">
        <f>N83-O83</f>
        <v>1106</v>
      </c>
      <c r="Q83" s="133"/>
      <c r="R83" s="218">
        <f>U83*1.5</f>
        <v>8910</v>
      </c>
      <c r="S83" s="218">
        <f>U83*1.1</f>
        <v>6534.0000000000009</v>
      </c>
      <c r="T83" s="218">
        <f>U83*1.05</f>
        <v>6237</v>
      </c>
      <c r="U83" s="111">
        <v>5940</v>
      </c>
      <c r="V83" s="119" t="e">
        <f>#REF!*1.1</f>
        <v>#REF!</v>
      </c>
      <c r="W83" s="89" t="e">
        <f>#REF!-V83</f>
        <v>#REF!</v>
      </c>
      <c r="X83" s="90"/>
      <c r="Y83" s="244">
        <f t="shared" si="25"/>
        <v>4794</v>
      </c>
      <c r="Z83" s="245">
        <v>1146</v>
      </c>
    </row>
    <row r="84" spans="1:26" ht="13.5" hidden="1" thickBot="1" x14ac:dyDescent="0.25">
      <c r="A84" s="720"/>
      <c r="B84" s="134" t="s">
        <v>491</v>
      </c>
      <c r="C84" s="174" t="s">
        <v>91</v>
      </c>
      <c r="D84" s="205"/>
      <c r="E84" s="192"/>
      <c r="F84" s="177"/>
      <c r="G84" s="177"/>
      <c r="H84" s="206"/>
      <c r="I84" s="194"/>
      <c r="J84" s="195"/>
      <c r="K84" s="196"/>
      <c r="L84" s="196"/>
      <c r="M84" s="196"/>
      <c r="N84" s="197"/>
      <c r="O84" s="198"/>
      <c r="P84" s="199"/>
      <c r="Q84" s="200"/>
      <c r="R84" s="219">
        <f>U84*1.5</f>
        <v>14025</v>
      </c>
      <c r="S84" s="219">
        <f>U84*1.1</f>
        <v>10285</v>
      </c>
      <c r="T84" s="219">
        <f>U84*1.05</f>
        <v>9817.5</v>
      </c>
      <c r="U84" s="144">
        <v>9350</v>
      </c>
      <c r="V84" s="108">
        <f>O83*1.1</f>
        <v>8133.4000000000005</v>
      </c>
      <c r="W84" s="79">
        <f>U83-V84</f>
        <v>-2193.4000000000005</v>
      </c>
      <c r="X84" s="86">
        <v>777.2</v>
      </c>
      <c r="Y84" s="244">
        <f t="shared" si="25"/>
        <v>9350</v>
      </c>
      <c r="Z84" s="245"/>
    </row>
    <row r="85" spans="1:26" ht="13.5" hidden="1" thickTop="1" x14ac:dyDescent="0.2">
      <c r="A85" s="717" t="s">
        <v>154</v>
      </c>
      <c r="B85" s="160" t="s">
        <v>492</v>
      </c>
      <c r="C85" s="181" t="s">
        <v>62</v>
      </c>
      <c r="D85" s="181"/>
      <c r="E85" s="207">
        <v>16.5</v>
      </c>
      <c r="F85" s="163">
        <v>0.1</v>
      </c>
      <c r="G85" s="163">
        <v>10</v>
      </c>
      <c r="H85" s="164">
        <v>0</v>
      </c>
      <c r="I85" s="165">
        <f t="shared" si="13"/>
        <v>0</v>
      </c>
      <c r="J85" s="166">
        <f t="shared" si="14"/>
        <v>0</v>
      </c>
      <c r="K85" s="167">
        <f t="shared" si="20"/>
        <v>2400</v>
      </c>
      <c r="L85" s="167">
        <f t="shared" si="21"/>
        <v>1760.0000000000002</v>
      </c>
      <c r="M85" s="167">
        <f t="shared" si="22"/>
        <v>1680</v>
      </c>
      <c r="N85" s="168">
        <v>1600</v>
      </c>
      <c r="O85" s="169"/>
      <c r="P85" s="170">
        <f t="shared" si="23"/>
        <v>1600</v>
      </c>
      <c r="Q85" s="171"/>
      <c r="R85" s="221">
        <f t="shared" si="24"/>
        <v>2775</v>
      </c>
      <c r="S85" s="221">
        <f t="shared" si="26"/>
        <v>2035.0000000000002</v>
      </c>
      <c r="T85" s="221">
        <f t="shared" si="27"/>
        <v>1942.5</v>
      </c>
      <c r="U85" s="172">
        <v>1850</v>
      </c>
      <c r="V85" s="108"/>
      <c r="W85" s="79"/>
      <c r="X85" s="86"/>
      <c r="Y85" s="244">
        <f t="shared" si="25"/>
        <v>1850</v>
      </c>
      <c r="Z85" s="245"/>
    </row>
    <row r="86" spans="1:26" s="26" customFormat="1" ht="18" customHeight="1" thickBot="1" x14ac:dyDescent="0.25">
      <c r="A86" s="718"/>
      <c r="B86" s="173" t="s">
        <v>493</v>
      </c>
      <c r="C86" s="174" t="s">
        <v>104</v>
      </c>
      <c r="D86" s="175" t="s">
        <v>285</v>
      </c>
      <c r="E86" s="136">
        <v>14.2</v>
      </c>
      <c r="F86" s="176">
        <v>0.12</v>
      </c>
      <c r="G86" s="176"/>
      <c r="H86" s="178">
        <v>0</v>
      </c>
      <c r="I86" s="179">
        <f t="shared" si="13"/>
        <v>0</v>
      </c>
      <c r="J86" s="180">
        <f t="shared" si="14"/>
        <v>0</v>
      </c>
      <c r="K86" s="139">
        <f t="shared" si="20"/>
        <v>4200</v>
      </c>
      <c r="L86" s="139">
        <f t="shared" si="21"/>
        <v>3080.0000000000005</v>
      </c>
      <c r="M86" s="139">
        <f t="shared" si="22"/>
        <v>2940</v>
      </c>
      <c r="N86" s="140">
        <v>2800</v>
      </c>
      <c r="O86" s="141">
        <v>1691</v>
      </c>
      <c r="P86" s="142">
        <f t="shared" si="23"/>
        <v>1109</v>
      </c>
      <c r="Q86" s="143"/>
      <c r="R86" s="219">
        <f t="shared" si="24"/>
        <v>4650</v>
      </c>
      <c r="S86" s="219">
        <f t="shared" si="26"/>
        <v>3410.0000000000005</v>
      </c>
      <c r="T86" s="219">
        <f t="shared" si="27"/>
        <v>3255</v>
      </c>
      <c r="U86" s="144">
        <v>3100</v>
      </c>
      <c r="V86" s="108">
        <f>O86*1.1</f>
        <v>1860.1000000000001</v>
      </c>
      <c r="W86" s="79">
        <f t="shared" si="17"/>
        <v>1239.8999999999999</v>
      </c>
      <c r="X86" s="86">
        <v>780</v>
      </c>
      <c r="Y86" s="244">
        <f t="shared" si="25"/>
        <v>1950</v>
      </c>
      <c r="Z86" s="245">
        <v>1150</v>
      </c>
    </row>
    <row r="87" spans="1:26" ht="13.5" hidden="1" thickTop="1" x14ac:dyDescent="0.2">
      <c r="A87" s="717" t="s">
        <v>155</v>
      </c>
      <c r="B87" s="160" t="s">
        <v>29</v>
      </c>
      <c r="C87" s="181" t="s">
        <v>63</v>
      </c>
      <c r="D87" s="181"/>
      <c r="E87" s="162">
        <v>9</v>
      </c>
      <c r="F87" s="163">
        <v>6.7000000000000004E-2</v>
      </c>
      <c r="G87" s="163">
        <v>10</v>
      </c>
      <c r="H87" s="164">
        <v>0</v>
      </c>
      <c r="I87" s="165">
        <f t="shared" si="13"/>
        <v>0</v>
      </c>
      <c r="J87" s="166">
        <f t="shared" si="14"/>
        <v>0</v>
      </c>
      <c r="K87" s="167">
        <f t="shared" si="20"/>
        <v>2047.5</v>
      </c>
      <c r="L87" s="167">
        <f t="shared" si="21"/>
        <v>1501.5000000000002</v>
      </c>
      <c r="M87" s="167">
        <f t="shared" si="22"/>
        <v>1433.25</v>
      </c>
      <c r="N87" s="168">
        <v>1365</v>
      </c>
      <c r="O87" s="169"/>
      <c r="P87" s="170">
        <f t="shared" si="23"/>
        <v>1365</v>
      </c>
      <c r="Q87" s="171"/>
      <c r="R87" s="221">
        <f t="shared" si="24"/>
        <v>2265</v>
      </c>
      <c r="S87" s="221">
        <f t="shared" si="26"/>
        <v>1661.0000000000002</v>
      </c>
      <c r="T87" s="221">
        <f t="shared" si="27"/>
        <v>1585.5</v>
      </c>
      <c r="U87" s="172">
        <v>1510</v>
      </c>
      <c r="V87" s="108"/>
      <c r="W87" s="79"/>
      <c r="X87" s="86"/>
      <c r="Y87" s="244">
        <f t="shared" si="25"/>
        <v>1510</v>
      </c>
      <c r="Z87" s="245"/>
    </row>
    <row r="88" spans="1:26" ht="13.5" hidden="1" thickTop="1" x14ac:dyDescent="0.2">
      <c r="A88" s="710"/>
      <c r="B88" s="14" t="s">
        <v>30</v>
      </c>
      <c r="C88" s="7" t="s">
        <v>64</v>
      </c>
      <c r="D88" s="7"/>
      <c r="E88" s="5">
        <v>10</v>
      </c>
      <c r="F88" s="3">
        <v>7.0000000000000007E-2</v>
      </c>
      <c r="G88" s="3">
        <v>10</v>
      </c>
      <c r="H88" s="13">
        <v>0</v>
      </c>
      <c r="I88" s="29">
        <f t="shared" ref="I88:I135" si="29">H88*E88</f>
        <v>0</v>
      </c>
      <c r="J88" s="30">
        <f t="shared" ref="J88:J135" si="30">F88*H88</f>
        <v>0</v>
      </c>
      <c r="K88" s="93">
        <f t="shared" si="20"/>
        <v>2205</v>
      </c>
      <c r="L88" s="93">
        <f t="shared" si="21"/>
        <v>1617.0000000000002</v>
      </c>
      <c r="M88" s="93">
        <f t="shared" si="22"/>
        <v>1543.5</v>
      </c>
      <c r="N88" s="64">
        <v>1470</v>
      </c>
      <c r="O88" s="69"/>
      <c r="P88" s="132">
        <f t="shared" si="23"/>
        <v>1470</v>
      </c>
      <c r="Q88" s="133"/>
      <c r="R88" s="218">
        <f t="shared" si="24"/>
        <v>2430</v>
      </c>
      <c r="S88" s="218">
        <f t="shared" si="26"/>
        <v>1782.0000000000002</v>
      </c>
      <c r="T88" s="218">
        <f t="shared" si="27"/>
        <v>1701</v>
      </c>
      <c r="U88" s="111">
        <v>1620</v>
      </c>
      <c r="V88" s="108"/>
      <c r="W88" s="79"/>
      <c r="X88" s="86"/>
      <c r="Y88" s="244">
        <f t="shared" si="25"/>
        <v>1620</v>
      </c>
      <c r="Z88" s="245"/>
    </row>
    <row r="89" spans="1:26" ht="13.5" hidden="1" thickTop="1" x14ac:dyDescent="0.2">
      <c r="A89" s="710"/>
      <c r="B89" s="14" t="s">
        <v>384</v>
      </c>
      <c r="C89" s="7" t="s">
        <v>77</v>
      </c>
      <c r="D89" s="7"/>
      <c r="E89" s="5">
        <v>32</v>
      </c>
      <c r="F89" s="3">
        <v>0.2</v>
      </c>
      <c r="G89" s="3">
        <v>6</v>
      </c>
      <c r="H89" s="13">
        <v>0</v>
      </c>
      <c r="I89" s="29">
        <f t="shared" si="29"/>
        <v>0</v>
      </c>
      <c r="J89" s="30">
        <f t="shared" si="30"/>
        <v>0</v>
      </c>
      <c r="K89" s="93">
        <f t="shared" si="20"/>
        <v>6840</v>
      </c>
      <c r="L89" s="93">
        <f t="shared" si="21"/>
        <v>5016</v>
      </c>
      <c r="M89" s="93">
        <f t="shared" si="22"/>
        <v>4788</v>
      </c>
      <c r="N89" s="64">
        <v>4560</v>
      </c>
      <c r="O89" s="69"/>
      <c r="P89" s="132">
        <f t="shared" si="23"/>
        <v>4560</v>
      </c>
      <c r="Q89" s="133"/>
      <c r="R89" s="218">
        <f t="shared" si="24"/>
        <v>7530</v>
      </c>
      <c r="S89" s="218">
        <f t="shared" si="26"/>
        <v>5522</v>
      </c>
      <c r="T89" s="218">
        <f t="shared" si="27"/>
        <v>5271</v>
      </c>
      <c r="U89" s="111">
        <v>5020</v>
      </c>
      <c r="V89" s="108"/>
      <c r="W89" s="79"/>
      <c r="X89" s="86"/>
      <c r="Y89" s="244">
        <f t="shared" si="25"/>
        <v>5020</v>
      </c>
      <c r="Z89" s="245"/>
    </row>
    <row r="90" spans="1:26" ht="17.25" customHeight="1" thickTop="1" x14ac:dyDescent="0.2">
      <c r="A90" s="710"/>
      <c r="B90" s="14" t="s">
        <v>317</v>
      </c>
      <c r="C90" s="7" t="s">
        <v>104</v>
      </c>
      <c r="D90" s="44" t="s">
        <v>285</v>
      </c>
      <c r="E90" s="3">
        <v>14</v>
      </c>
      <c r="F90" s="3">
        <v>0.12</v>
      </c>
      <c r="G90" s="34"/>
      <c r="H90" s="13">
        <v>0</v>
      </c>
      <c r="I90" s="29">
        <f t="shared" si="29"/>
        <v>0</v>
      </c>
      <c r="J90" s="30">
        <f t="shared" si="30"/>
        <v>0</v>
      </c>
      <c r="K90" s="93">
        <f t="shared" si="20"/>
        <v>5670</v>
      </c>
      <c r="L90" s="93">
        <f t="shared" si="21"/>
        <v>4158</v>
      </c>
      <c r="M90" s="93">
        <f t="shared" si="22"/>
        <v>3969</v>
      </c>
      <c r="N90" s="64">
        <v>3780</v>
      </c>
      <c r="O90" s="69">
        <v>2671.4</v>
      </c>
      <c r="P90" s="132">
        <f t="shared" si="23"/>
        <v>1108.5999999999999</v>
      </c>
      <c r="Q90" s="133"/>
      <c r="R90" s="218">
        <f t="shared" si="24"/>
        <v>6240</v>
      </c>
      <c r="S90" s="218">
        <f t="shared" si="26"/>
        <v>4576</v>
      </c>
      <c r="T90" s="218">
        <f t="shared" si="27"/>
        <v>4368</v>
      </c>
      <c r="U90" s="111">
        <v>4160</v>
      </c>
      <c r="V90" s="108">
        <f>O90*1.1</f>
        <v>2938.5400000000004</v>
      </c>
      <c r="W90" s="79">
        <f>U90-V90</f>
        <v>1221.4599999999996</v>
      </c>
      <c r="X90" s="86">
        <v>780</v>
      </c>
      <c r="Y90" s="244">
        <f t="shared" si="25"/>
        <v>3010</v>
      </c>
      <c r="Z90" s="245">
        <v>1150</v>
      </c>
    </row>
    <row r="91" spans="1:26" ht="15" customHeight="1" thickBot="1" x14ac:dyDescent="0.25">
      <c r="A91" s="718"/>
      <c r="B91" s="173" t="s">
        <v>318</v>
      </c>
      <c r="C91" s="174" t="s">
        <v>365</v>
      </c>
      <c r="D91" s="175" t="s">
        <v>286</v>
      </c>
      <c r="E91" s="176">
        <v>16.5</v>
      </c>
      <c r="F91" s="176">
        <v>0.17</v>
      </c>
      <c r="G91" s="177"/>
      <c r="H91" s="178">
        <v>0</v>
      </c>
      <c r="I91" s="179">
        <f t="shared" si="29"/>
        <v>0</v>
      </c>
      <c r="J91" s="180">
        <f t="shared" si="30"/>
        <v>0</v>
      </c>
      <c r="K91" s="139">
        <f t="shared" si="20"/>
        <v>6000</v>
      </c>
      <c r="L91" s="139">
        <f t="shared" si="21"/>
        <v>4400</v>
      </c>
      <c r="M91" s="139">
        <f t="shared" si="22"/>
        <v>4200</v>
      </c>
      <c r="N91" s="140">
        <v>4000</v>
      </c>
      <c r="O91" s="141">
        <v>2846.55</v>
      </c>
      <c r="P91" s="142">
        <f t="shared" si="23"/>
        <v>1153.4499999999998</v>
      </c>
      <c r="Q91" s="143"/>
      <c r="R91" s="219">
        <f t="shared" si="24"/>
        <v>6600</v>
      </c>
      <c r="S91" s="219">
        <f t="shared" si="26"/>
        <v>4840</v>
      </c>
      <c r="T91" s="219">
        <f t="shared" si="27"/>
        <v>4620</v>
      </c>
      <c r="U91" s="144">
        <f>N91*1.1</f>
        <v>4400</v>
      </c>
      <c r="V91" s="108">
        <f>O91*1.1</f>
        <v>3131.2050000000004</v>
      </c>
      <c r="W91" s="79">
        <f>U91-V91</f>
        <v>1268.7949999999996</v>
      </c>
      <c r="X91" s="86"/>
      <c r="Y91" s="244">
        <f t="shared" si="25"/>
        <v>3169</v>
      </c>
      <c r="Z91" s="245">
        <v>1231</v>
      </c>
    </row>
    <row r="92" spans="1:26" ht="13.5" hidden="1" thickTop="1" x14ac:dyDescent="0.2">
      <c r="A92" s="717" t="s">
        <v>156</v>
      </c>
      <c r="B92" s="160" t="s">
        <v>31</v>
      </c>
      <c r="C92" s="181" t="s">
        <v>65</v>
      </c>
      <c r="D92" s="181"/>
      <c r="E92" s="162">
        <v>8</v>
      </c>
      <c r="F92" s="163">
        <v>9.5000000000000001E-2</v>
      </c>
      <c r="G92" s="163">
        <v>10</v>
      </c>
      <c r="H92" s="164">
        <v>0</v>
      </c>
      <c r="I92" s="165">
        <f t="shared" si="29"/>
        <v>0</v>
      </c>
      <c r="J92" s="166">
        <f t="shared" si="30"/>
        <v>0</v>
      </c>
      <c r="K92" s="167">
        <f t="shared" si="20"/>
        <v>982.5</v>
      </c>
      <c r="L92" s="167">
        <f t="shared" si="21"/>
        <v>720.50000000000011</v>
      </c>
      <c r="M92" s="167">
        <f t="shared" si="22"/>
        <v>687.75</v>
      </c>
      <c r="N92" s="168">
        <v>655</v>
      </c>
      <c r="O92" s="169"/>
      <c r="P92" s="170">
        <f t="shared" si="23"/>
        <v>655</v>
      </c>
      <c r="Q92" s="171"/>
      <c r="R92" s="221">
        <f t="shared" si="24"/>
        <v>1132.5</v>
      </c>
      <c r="S92" s="221">
        <f t="shared" si="26"/>
        <v>830.50000000000011</v>
      </c>
      <c r="T92" s="221">
        <f t="shared" si="27"/>
        <v>792.75</v>
      </c>
      <c r="U92" s="172">
        <v>755</v>
      </c>
      <c r="V92" s="108"/>
      <c r="W92" s="79"/>
      <c r="X92" s="86"/>
      <c r="Y92" s="244">
        <f t="shared" si="25"/>
        <v>755</v>
      </c>
      <c r="Z92" s="245"/>
    </row>
    <row r="93" spans="1:26" ht="13.5" hidden="1" thickTop="1" x14ac:dyDescent="0.2">
      <c r="A93" s="710"/>
      <c r="B93" s="14" t="s">
        <v>494</v>
      </c>
      <c r="C93" s="7" t="s">
        <v>86</v>
      </c>
      <c r="D93" s="7"/>
      <c r="E93" s="5">
        <v>12.5</v>
      </c>
      <c r="F93" s="3">
        <v>0</v>
      </c>
      <c r="G93" s="3">
        <v>12</v>
      </c>
      <c r="H93" s="13">
        <v>0</v>
      </c>
      <c r="I93" s="29">
        <f t="shared" si="29"/>
        <v>0</v>
      </c>
      <c r="J93" s="30">
        <f t="shared" si="30"/>
        <v>0</v>
      </c>
      <c r="K93" s="93">
        <f t="shared" si="20"/>
        <v>1650</v>
      </c>
      <c r="L93" s="93">
        <f t="shared" si="21"/>
        <v>1210</v>
      </c>
      <c r="M93" s="93">
        <f t="shared" si="22"/>
        <v>1155</v>
      </c>
      <c r="N93" s="64">
        <v>1100</v>
      </c>
      <c r="O93" s="69"/>
      <c r="P93" s="132">
        <f t="shared" si="23"/>
        <v>1100</v>
      </c>
      <c r="Q93" s="133"/>
      <c r="R93" s="218">
        <f t="shared" si="24"/>
        <v>1815</v>
      </c>
      <c r="S93" s="218">
        <f t="shared" si="26"/>
        <v>1331</v>
      </c>
      <c r="T93" s="218">
        <f t="shared" si="27"/>
        <v>1270.5</v>
      </c>
      <c r="U93" s="111">
        <f>N93*1.1</f>
        <v>1210</v>
      </c>
      <c r="V93" s="108"/>
      <c r="W93" s="79"/>
      <c r="X93" s="86"/>
      <c r="Y93" s="244">
        <f t="shared" si="25"/>
        <v>1210</v>
      </c>
      <c r="Z93" s="245"/>
    </row>
    <row r="94" spans="1:26" ht="14.25" customHeight="1" thickTop="1" thickBot="1" x14ac:dyDescent="0.25">
      <c r="A94" s="718"/>
      <c r="B94" s="173" t="s">
        <v>495</v>
      </c>
      <c r="C94" s="174" t="s">
        <v>105</v>
      </c>
      <c r="D94" s="175" t="s">
        <v>291</v>
      </c>
      <c r="E94" s="136">
        <v>15.2</v>
      </c>
      <c r="F94" s="176">
        <v>0.17</v>
      </c>
      <c r="G94" s="176"/>
      <c r="H94" s="178">
        <v>0</v>
      </c>
      <c r="I94" s="179">
        <f t="shared" si="29"/>
        <v>0</v>
      </c>
      <c r="J94" s="180">
        <f t="shared" si="30"/>
        <v>0</v>
      </c>
      <c r="K94" s="139">
        <f t="shared" si="20"/>
        <v>3150</v>
      </c>
      <c r="L94" s="139">
        <f t="shared" si="21"/>
        <v>2310</v>
      </c>
      <c r="M94" s="139">
        <f t="shared" si="22"/>
        <v>2205</v>
      </c>
      <c r="N94" s="140">
        <v>2100</v>
      </c>
      <c r="O94" s="141">
        <v>993.7</v>
      </c>
      <c r="P94" s="142">
        <f t="shared" si="23"/>
        <v>1106.3</v>
      </c>
      <c r="Q94" s="143"/>
      <c r="R94" s="219">
        <f t="shared" si="24"/>
        <v>3465</v>
      </c>
      <c r="S94" s="219">
        <f t="shared" si="26"/>
        <v>2541</v>
      </c>
      <c r="T94" s="219">
        <f t="shared" si="27"/>
        <v>2425.5</v>
      </c>
      <c r="U94" s="144">
        <f t="shared" ref="U94:U134" si="31">N94*1.1</f>
        <v>2310</v>
      </c>
      <c r="V94" s="108">
        <f>O94*1.1</f>
        <v>1093.0700000000002</v>
      </c>
      <c r="W94" s="79">
        <f>U94-V94</f>
        <v>1216.9299999999998</v>
      </c>
      <c r="X94" s="86">
        <v>777.2</v>
      </c>
      <c r="Y94" s="244">
        <f t="shared" si="25"/>
        <v>1164</v>
      </c>
      <c r="Z94" s="245">
        <v>1146</v>
      </c>
    </row>
    <row r="95" spans="1:26" ht="12.75" hidden="1" customHeight="1" thickTop="1" x14ac:dyDescent="0.2">
      <c r="A95" s="724" t="s">
        <v>460</v>
      </c>
      <c r="B95" s="160" t="s">
        <v>496</v>
      </c>
      <c r="C95" s="181" t="s">
        <v>66</v>
      </c>
      <c r="D95" s="181"/>
      <c r="E95" s="162">
        <v>13.5</v>
      </c>
      <c r="F95" s="163">
        <v>0.1</v>
      </c>
      <c r="G95" s="163">
        <v>10</v>
      </c>
      <c r="H95" s="164">
        <v>0</v>
      </c>
      <c r="I95" s="165">
        <f t="shared" si="29"/>
        <v>0</v>
      </c>
      <c r="J95" s="166">
        <f t="shared" si="30"/>
        <v>0</v>
      </c>
      <c r="K95" s="167">
        <f t="shared" si="20"/>
        <v>2625</v>
      </c>
      <c r="L95" s="167">
        <f t="shared" si="21"/>
        <v>1925.0000000000002</v>
      </c>
      <c r="M95" s="167">
        <f t="shared" si="22"/>
        <v>1837.5</v>
      </c>
      <c r="N95" s="168">
        <v>1750</v>
      </c>
      <c r="O95" s="169"/>
      <c r="P95" s="170">
        <f t="shared" si="23"/>
        <v>1750</v>
      </c>
      <c r="Q95" s="171"/>
      <c r="R95" s="221">
        <f t="shared" si="24"/>
        <v>3015</v>
      </c>
      <c r="S95" s="221">
        <f t="shared" si="26"/>
        <v>2211</v>
      </c>
      <c r="T95" s="221">
        <f t="shared" si="27"/>
        <v>2110.5</v>
      </c>
      <c r="U95" s="172">
        <v>2010</v>
      </c>
      <c r="V95" s="108"/>
      <c r="W95" s="79"/>
      <c r="X95" s="86"/>
      <c r="Y95" s="244">
        <f t="shared" si="25"/>
        <v>2010</v>
      </c>
      <c r="Z95" s="245"/>
    </row>
    <row r="96" spans="1:26" ht="18" customHeight="1" thickTop="1" thickBot="1" x14ac:dyDescent="0.25">
      <c r="A96" s="725"/>
      <c r="B96" s="173" t="s">
        <v>497</v>
      </c>
      <c r="C96" s="174" t="s">
        <v>106</v>
      </c>
      <c r="D96" s="175" t="s">
        <v>292</v>
      </c>
      <c r="E96" s="136">
        <v>18</v>
      </c>
      <c r="F96" s="176">
        <v>0.17</v>
      </c>
      <c r="G96" s="176"/>
      <c r="H96" s="178">
        <v>0</v>
      </c>
      <c r="I96" s="179">
        <f t="shared" si="29"/>
        <v>0</v>
      </c>
      <c r="J96" s="180">
        <f t="shared" si="30"/>
        <v>0</v>
      </c>
      <c r="K96" s="139">
        <f t="shared" si="20"/>
        <v>6000</v>
      </c>
      <c r="L96" s="139">
        <f t="shared" si="21"/>
        <v>4400</v>
      </c>
      <c r="M96" s="139">
        <f t="shared" si="22"/>
        <v>4200</v>
      </c>
      <c r="N96" s="140">
        <v>4000</v>
      </c>
      <c r="O96" s="141">
        <v>2506</v>
      </c>
      <c r="P96" s="142">
        <f t="shared" si="23"/>
        <v>1494</v>
      </c>
      <c r="Q96" s="143"/>
      <c r="R96" s="219">
        <f t="shared" si="24"/>
        <v>6600</v>
      </c>
      <c r="S96" s="219">
        <f t="shared" si="26"/>
        <v>4840</v>
      </c>
      <c r="T96" s="219">
        <f t="shared" si="27"/>
        <v>4620</v>
      </c>
      <c r="U96" s="144">
        <f t="shared" si="31"/>
        <v>4400</v>
      </c>
      <c r="V96" s="108">
        <f>O96*1.1</f>
        <v>2756.6000000000004</v>
      </c>
      <c r="W96" s="79">
        <f>U96-V96</f>
        <v>1643.3999999999996</v>
      </c>
      <c r="X96" s="86">
        <v>1040</v>
      </c>
      <c r="Y96" s="244">
        <f t="shared" si="25"/>
        <v>2913</v>
      </c>
      <c r="Z96" s="245">
        <v>1487</v>
      </c>
    </row>
    <row r="97" spans="1:26" ht="13.5" hidden="1" thickTop="1" x14ac:dyDescent="0.2">
      <c r="A97" s="717" t="s">
        <v>157</v>
      </c>
      <c r="B97" s="160" t="s">
        <v>411</v>
      </c>
      <c r="C97" s="181" t="s">
        <v>67</v>
      </c>
      <c r="D97" s="181"/>
      <c r="E97" s="162">
        <v>13.5</v>
      </c>
      <c r="F97" s="163">
        <v>7.0000000000000007E-2</v>
      </c>
      <c r="G97" s="163">
        <v>10</v>
      </c>
      <c r="H97" s="164">
        <v>0</v>
      </c>
      <c r="I97" s="165">
        <f t="shared" si="29"/>
        <v>0</v>
      </c>
      <c r="J97" s="166">
        <f t="shared" si="30"/>
        <v>0</v>
      </c>
      <c r="K97" s="167">
        <f t="shared" si="20"/>
        <v>2625</v>
      </c>
      <c r="L97" s="167">
        <f t="shared" si="21"/>
        <v>1925.0000000000002</v>
      </c>
      <c r="M97" s="167">
        <f t="shared" si="22"/>
        <v>1837.5</v>
      </c>
      <c r="N97" s="168">
        <v>1750</v>
      </c>
      <c r="O97" s="169"/>
      <c r="P97" s="170">
        <f t="shared" si="23"/>
        <v>1750</v>
      </c>
      <c r="Q97" s="171"/>
      <c r="R97" s="221">
        <f t="shared" si="24"/>
        <v>3015</v>
      </c>
      <c r="S97" s="221">
        <f t="shared" si="26"/>
        <v>2211</v>
      </c>
      <c r="T97" s="221">
        <f t="shared" si="27"/>
        <v>2110.5</v>
      </c>
      <c r="U97" s="172">
        <v>2010</v>
      </c>
      <c r="V97" s="108"/>
      <c r="W97" s="79"/>
      <c r="X97" s="86"/>
      <c r="Y97" s="244">
        <f t="shared" si="25"/>
        <v>2010</v>
      </c>
      <c r="Z97" s="245"/>
    </row>
    <row r="98" spans="1:26" ht="13.5" hidden="1" thickTop="1" x14ac:dyDescent="0.2">
      <c r="A98" s="710"/>
      <c r="B98" s="14" t="s">
        <v>412</v>
      </c>
      <c r="C98" s="7" t="s">
        <v>68</v>
      </c>
      <c r="D98" s="7"/>
      <c r="E98" s="5">
        <v>14.2</v>
      </c>
      <c r="F98" s="3">
        <v>0.09</v>
      </c>
      <c r="G98" s="3">
        <v>10</v>
      </c>
      <c r="H98" s="13">
        <v>0</v>
      </c>
      <c r="I98" s="29">
        <f t="shared" si="29"/>
        <v>0</v>
      </c>
      <c r="J98" s="30">
        <f t="shared" si="30"/>
        <v>0</v>
      </c>
      <c r="K98" s="93">
        <f t="shared" si="20"/>
        <v>2812.5</v>
      </c>
      <c r="L98" s="93">
        <f t="shared" si="21"/>
        <v>2062.5</v>
      </c>
      <c r="M98" s="93">
        <f t="shared" si="22"/>
        <v>1968.75</v>
      </c>
      <c r="N98" s="64">
        <v>1875</v>
      </c>
      <c r="O98" s="69"/>
      <c r="P98" s="132">
        <f t="shared" si="23"/>
        <v>1875</v>
      </c>
      <c r="Q98" s="133"/>
      <c r="R98" s="218">
        <f t="shared" si="24"/>
        <v>3247.5</v>
      </c>
      <c r="S98" s="218">
        <f t="shared" si="26"/>
        <v>2381.5</v>
      </c>
      <c r="T98" s="218">
        <f t="shared" si="27"/>
        <v>2273.25</v>
      </c>
      <c r="U98" s="111">
        <v>2165</v>
      </c>
      <c r="V98" s="108"/>
      <c r="W98" s="79"/>
      <c r="X98" s="86"/>
      <c r="Y98" s="244">
        <f t="shared" si="25"/>
        <v>2165</v>
      </c>
      <c r="Z98" s="245"/>
    </row>
    <row r="99" spans="1:26" ht="13.5" hidden="1" thickTop="1" x14ac:dyDescent="0.2">
      <c r="A99" s="710"/>
      <c r="B99" s="14" t="s">
        <v>413</v>
      </c>
      <c r="C99" s="7" t="s">
        <v>69</v>
      </c>
      <c r="D99" s="7"/>
      <c r="E99" s="5">
        <v>16.5</v>
      </c>
      <c r="F99" s="3">
        <v>0.09</v>
      </c>
      <c r="G99" s="3">
        <v>10</v>
      </c>
      <c r="H99" s="13">
        <v>0</v>
      </c>
      <c r="I99" s="29">
        <f t="shared" si="29"/>
        <v>0</v>
      </c>
      <c r="J99" s="30">
        <f t="shared" si="30"/>
        <v>0</v>
      </c>
      <c r="K99" s="93">
        <f t="shared" si="20"/>
        <v>3000</v>
      </c>
      <c r="L99" s="93">
        <f t="shared" si="21"/>
        <v>2200</v>
      </c>
      <c r="M99" s="93">
        <f t="shared" si="22"/>
        <v>2100</v>
      </c>
      <c r="N99" s="64">
        <v>2000</v>
      </c>
      <c r="O99" s="69"/>
      <c r="P99" s="132">
        <f t="shared" si="23"/>
        <v>2000</v>
      </c>
      <c r="Q99" s="133"/>
      <c r="R99" s="218">
        <f t="shared" si="24"/>
        <v>3450</v>
      </c>
      <c r="S99" s="218">
        <f t="shared" si="26"/>
        <v>2530</v>
      </c>
      <c r="T99" s="218">
        <f t="shared" si="27"/>
        <v>2415</v>
      </c>
      <c r="U99" s="111">
        <v>2300</v>
      </c>
      <c r="V99" s="108"/>
      <c r="W99" s="79"/>
      <c r="X99" s="86"/>
      <c r="Y99" s="244">
        <f t="shared" si="25"/>
        <v>2300</v>
      </c>
      <c r="Z99" s="245"/>
    </row>
    <row r="100" spans="1:26" ht="13.5" hidden="1" thickTop="1" x14ac:dyDescent="0.2">
      <c r="A100" s="710"/>
      <c r="B100" s="14" t="s">
        <v>414</v>
      </c>
      <c r="C100" s="7" t="s">
        <v>84</v>
      </c>
      <c r="D100" s="7"/>
      <c r="E100" s="5">
        <v>34.5</v>
      </c>
      <c r="F100" s="3">
        <v>0.2</v>
      </c>
      <c r="G100" s="3">
        <v>6</v>
      </c>
      <c r="H100" s="13">
        <v>0</v>
      </c>
      <c r="I100" s="29">
        <f t="shared" si="29"/>
        <v>0</v>
      </c>
      <c r="J100" s="30">
        <f t="shared" si="30"/>
        <v>0</v>
      </c>
      <c r="K100" s="93">
        <f t="shared" si="20"/>
        <v>5550</v>
      </c>
      <c r="L100" s="93">
        <f t="shared" si="21"/>
        <v>4070.0000000000005</v>
      </c>
      <c r="M100" s="93">
        <f t="shared" si="22"/>
        <v>3885</v>
      </c>
      <c r="N100" s="64">
        <v>3700</v>
      </c>
      <c r="O100" s="69"/>
      <c r="P100" s="132">
        <f t="shared" si="23"/>
        <v>3700</v>
      </c>
      <c r="Q100" s="133"/>
      <c r="R100" s="218">
        <f t="shared" si="24"/>
        <v>6105.0000000000009</v>
      </c>
      <c r="S100" s="218">
        <f t="shared" si="26"/>
        <v>4477.0000000000009</v>
      </c>
      <c r="T100" s="218">
        <f t="shared" si="27"/>
        <v>4273.5000000000009</v>
      </c>
      <c r="U100" s="111">
        <f t="shared" si="31"/>
        <v>4070.0000000000005</v>
      </c>
      <c r="V100" s="108"/>
      <c r="W100" s="79"/>
      <c r="X100" s="86"/>
      <c r="Y100" s="244">
        <f t="shared" ref="Y100:Y131" si="32">U100-Z100</f>
        <v>4070.0000000000005</v>
      </c>
      <c r="Z100" s="245"/>
    </row>
    <row r="101" spans="1:26" s="26" customFormat="1" ht="13.5" thickTop="1" x14ac:dyDescent="0.2">
      <c r="A101" s="710"/>
      <c r="B101" s="14" t="s">
        <v>36</v>
      </c>
      <c r="C101" s="7" t="s">
        <v>104</v>
      </c>
      <c r="D101" s="44" t="s">
        <v>293</v>
      </c>
      <c r="E101" s="5">
        <v>17</v>
      </c>
      <c r="F101" s="3">
        <v>0.15</v>
      </c>
      <c r="G101" s="3"/>
      <c r="H101" s="13">
        <v>0</v>
      </c>
      <c r="I101" s="29">
        <f t="shared" si="29"/>
        <v>0</v>
      </c>
      <c r="J101" s="30">
        <f t="shared" si="30"/>
        <v>0</v>
      </c>
      <c r="K101" s="93">
        <f t="shared" si="20"/>
        <v>4725</v>
      </c>
      <c r="L101" s="93">
        <f t="shared" si="21"/>
        <v>3465.0000000000005</v>
      </c>
      <c r="M101" s="93">
        <f t="shared" si="22"/>
        <v>3307.5</v>
      </c>
      <c r="N101" s="64">
        <v>3150</v>
      </c>
      <c r="O101" s="69">
        <v>2102.58</v>
      </c>
      <c r="P101" s="132">
        <f t="shared" si="23"/>
        <v>1047.42</v>
      </c>
      <c r="Q101" s="133"/>
      <c r="R101" s="218">
        <f t="shared" si="24"/>
        <v>5197.5000000000009</v>
      </c>
      <c r="S101" s="218">
        <f t="shared" si="26"/>
        <v>3811.5000000000009</v>
      </c>
      <c r="T101" s="218">
        <f t="shared" si="27"/>
        <v>3638.2500000000005</v>
      </c>
      <c r="U101" s="111">
        <f t="shared" si="31"/>
        <v>3465.0000000000005</v>
      </c>
      <c r="V101" s="108">
        <f>O101*1.1</f>
        <v>2312.8380000000002</v>
      </c>
      <c r="W101" s="79">
        <f>U101-V101</f>
        <v>1152.1620000000003</v>
      </c>
      <c r="X101" s="86">
        <v>928.3</v>
      </c>
      <c r="Y101" s="244">
        <f t="shared" si="32"/>
        <v>2298.0000000000005</v>
      </c>
      <c r="Z101" s="245">
        <v>1167</v>
      </c>
    </row>
    <row r="102" spans="1:26" ht="17.25" customHeight="1" x14ac:dyDescent="0.2">
      <c r="A102" s="710"/>
      <c r="B102" s="14" t="s">
        <v>37</v>
      </c>
      <c r="C102" s="7" t="s">
        <v>106</v>
      </c>
      <c r="D102" s="32" t="s">
        <v>292</v>
      </c>
      <c r="E102" s="5">
        <v>26</v>
      </c>
      <c r="F102" s="3">
        <v>0.17</v>
      </c>
      <c r="G102" s="3"/>
      <c r="H102" s="13">
        <v>0</v>
      </c>
      <c r="I102" s="29">
        <f t="shared" si="29"/>
        <v>0</v>
      </c>
      <c r="J102" s="30">
        <f t="shared" si="30"/>
        <v>0</v>
      </c>
      <c r="K102" s="93">
        <f t="shared" si="20"/>
        <v>6600</v>
      </c>
      <c r="L102" s="93">
        <f t="shared" si="21"/>
        <v>4840</v>
      </c>
      <c r="M102" s="93">
        <f t="shared" si="22"/>
        <v>4620</v>
      </c>
      <c r="N102" s="64">
        <v>4400</v>
      </c>
      <c r="O102" s="69">
        <v>2906.15</v>
      </c>
      <c r="P102" s="132">
        <f t="shared" si="23"/>
        <v>1493.85</v>
      </c>
      <c r="Q102" s="133"/>
      <c r="R102" s="218">
        <f t="shared" si="24"/>
        <v>7260</v>
      </c>
      <c r="S102" s="218">
        <f t="shared" si="26"/>
        <v>5324</v>
      </c>
      <c r="T102" s="218">
        <f t="shared" si="27"/>
        <v>5082</v>
      </c>
      <c r="U102" s="111">
        <f t="shared" si="31"/>
        <v>4840</v>
      </c>
      <c r="V102" s="108">
        <f>O102*1.1</f>
        <v>3196.7650000000003</v>
      </c>
      <c r="W102" s="79">
        <f>U102-V102</f>
        <v>1643.2349999999997</v>
      </c>
      <c r="X102" s="86">
        <v>1040</v>
      </c>
      <c r="Y102" s="244">
        <f t="shared" si="32"/>
        <v>3353</v>
      </c>
      <c r="Z102" s="245">
        <v>1487</v>
      </c>
    </row>
    <row r="103" spans="1:26" ht="13.5" thickBot="1" x14ac:dyDescent="0.25">
      <c r="A103" s="718"/>
      <c r="B103" s="173" t="s">
        <v>38</v>
      </c>
      <c r="C103" s="174" t="s">
        <v>107</v>
      </c>
      <c r="D103" s="175" t="s">
        <v>294</v>
      </c>
      <c r="E103" s="136">
        <v>28.5</v>
      </c>
      <c r="F103" s="176">
        <v>0.2</v>
      </c>
      <c r="G103" s="176"/>
      <c r="H103" s="178">
        <v>0</v>
      </c>
      <c r="I103" s="179">
        <f t="shared" si="29"/>
        <v>0</v>
      </c>
      <c r="J103" s="180">
        <f t="shared" si="30"/>
        <v>0</v>
      </c>
      <c r="K103" s="139">
        <f t="shared" si="20"/>
        <v>8325</v>
      </c>
      <c r="L103" s="139">
        <f t="shared" si="21"/>
        <v>6105.0000000000009</v>
      </c>
      <c r="M103" s="139">
        <f t="shared" si="22"/>
        <v>5827.5</v>
      </c>
      <c r="N103" s="140">
        <v>5550</v>
      </c>
      <c r="O103" s="141">
        <v>3668</v>
      </c>
      <c r="P103" s="142">
        <f t="shared" si="23"/>
        <v>1882</v>
      </c>
      <c r="Q103" s="143"/>
      <c r="R103" s="219">
        <f t="shared" si="24"/>
        <v>9157.5000000000018</v>
      </c>
      <c r="S103" s="219">
        <f t="shared" si="26"/>
        <v>6715.5000000000018</v>
      </c>
      <c r="T103" s="219">
        <f t="shared" si="27"/>
        <v>6410.2500000000009</v>
      </c>
      <c r="U103" s="144">
        <f t="shared" si="31"/>
        <v>6105.0000000000009</v>
      </c>
      <c r="V103" s="108">
        <f>O103*1.1</f>
        <v>4034.8</v>
      </c>
      <c r="W103" s="79">
        <f>U103-V103</f>
        <v>2070.2000000000007</v>
      </c>
      <c r="X103" s="86">
        <v>1676</v>
      </c>
      <c r="Y103" s="244">
        <f t="shared" si="32"/>
        <v>3997.0000000000009</v>
      </c>
      <c r="Z103" s="245">
        <v>2108</v>
      </c>
    </row>
    <row r="104" spans="1:26" ht="13.5" hidden="1" thickTop="1" x14ac:dyDescent="0.2">
      <c r="A104" s="717" t="s">
        <v>158</v>
      </c>
      <c r="B104" s="160" t="s">
        <v>425</v>
      </c>
      <c r="C104" s="181" t="s">
        <v>10</v>
      </c>
      <c r="D104" s="181"/>
      <c r="E104" s="162">
        <v>15</v>
      </c>
      <c r="F104" s="163">
        <v>0.1</v>
      </c>
      <c r="G104" s="163">
        <v>10</v>
      </c>
      <c r="H104" s="164">
        <v>0</v>
      </c>
      <c r="I104" s="165">
        <f t="shared" si="29"/>
        <v>0</v>
      </c>
      <c r="J104" s="166">
        <f t="shared" si="30"/>
        <v>0</v>
      </c>
      <c r="K104" s="167">
        <f t="shared" si="20"/>
        <v>2775</v>
      </c>
      <c r="L104" s="167">
        <f t="shared" si="21"/>
        <v>2035.0000000000002</v>
      </c>
      <c r="M104" s="167">
        <f t="shared" si="22"/>
        <v>1942.5</v>
      </c>
      <c r="N104" s="168">
        <v>1850</v>
      </c>
      <c r="O104" s="169"/>
      <c r="P104" s="170">
        <f t="shared" si="23"/>
        <v>1850</v>
      </c>
      <c r="Q104" s="171"/>
      <c r="R104" s="221">
        <f t="shared" si="24"/>
        <v>3052.5000000000005</v>
      </c>
      <c r="S104" s="221">
        <f t="shared" si="26"/>
        <v>2238.5000000000005</v>
      </c>
      <c r="T104" s="221">
        <f t="shared" si="27"/>
        <v>2136.7500000000005</v>
      </c>
      <c r="U104" s="172">
        <f t="shared" si="31"/>
        <v>2035.0000000000002</v>
      </c>
      <c r="V104" s="108"/>
      <c r="W104" s="79"/>
      <c r="X104" s="86"/>
      <c r="Y104" s="244">
        <f t="shared" si="32"/>
        <v>2035.0000000000002</v>
      </c>
      <c r="Z104" s="245"/>
    </row>
    <row r="105" spans="1:26" ht="15" customHeight="1" thickTop="1" thickBot="1" x14ac:dyDescent="0.25">
      <c r="A105" s="718"/>
      <c r="B105" s="173" t="s">
        <v>253</v>
      </c>
      <c r="C105" s="174" t="s">
        <v>105</v>
      </c>
      <c r="D105" s="175" t="s">
        <v>291</v>
      </c>
      <c r="E105" s="136">
        <v>16</v>
      </c>
      <c r="F105" s="176">
        <v>0.17</v>
      </c>
      <c r="G105" s="176"/>
      <c r="H105" s="178">
        <v>0</v>
      </c>
      <c r="I105" s="179">
        <f t="shared" si="29"/>
        <v>0</v>
      </c>
      <c r="J105" s="180">
        <f t="shared" si="30"/>
        <v>0</v>
      </c>
      <c r="K105" s="139">
        <f t="shared" si="20"/>
        <v>5850</v>
      </c>
      <c r="L105" s="139">
        <f t="shared" si="21"/>
        <v>4290</v>
      </c>
      <c r="M105" s="139">
        <f t="shared" si="22"/>
        <v>4095</v>
      </c>
      <c r="N105" s="140">
        <v>3900</v>
      </c>
      <c r="O105" s="141">
        <v>2793.7</v>
      </c>
      <c r="P105" s="142">
        <f t="shared" si="23"/>
        <v>1106.3000000000002</v>
      </c>
      <c r="Q105" s="143"/>
      <c r="R105" s="219">
        <f t="shared" si="24"/>
        <v>6435</v>
      </c>
      <c r="S105" s="219">
        <f t="shared" si="26"/>
        <v>4719</v>
      </c>
      <c r="T105" s="219">
        <f t="shared" si="27"/>
        <v>4504.5</v>
      </c>
      <c r="U105" s="144">
        <f t="shared" si="31"/>
        <v>4290</v>
      </c>
      <c r="V105" s="108">
        <f>O105*1.1</f>
        <v>3073.07</v>
      </c>
      <c r="W105" s="79">
        <f>U105-V105</f>
        <v>1216.9299999999998</v>
      </c>
      <c r="X105" s="86"/>
      <c r="Y105" s="244">
        <f t="shared" si="32"/>
        <v>3144</v>
      </c>
      <c r="Z105" s="245">
        <v>1146</v>
      </c>
    </row>
    <row r="106" spans="1:26" ht="13.5" thickTop="1" x14ac:dyDescent="0.2">
      <c r="A106" s="717" t="s">
        <v>162</v>
      </c>
      <c r="B106" s="160" t="s">
        <v>39</v>
      </c>
      <c r="C106" s="181" t="s">
        <v>92</v>
      </c>
      <c r="D106" s="208" t="s">
        <v>281</v>
      </c>
      <c r="E106" s="162">
        <v>28</v>
      </c>
      <c r="F106" s="163">
        <v>0.16</v>
      </c>
      <c r="G106" s="163"/>
      <c r="H106" s="164">
        <v>0</v>
      </c>
      <c r="I106" s="165">
        <f t="shared" si="29"/>
        <v>0</v>
      </c>
      <c r="J106" s="166">
        <f t="shared" si="30"/>
        <v>0</v>
      </c>
      <c r="K106" s="167">
        <f t="shared" si="20"/>
        <v>8775</v>
      </c>
      <c r="L106" s="167">
        <f t="shared" si="21"/>
        <v>6435.0000000000009</v>
      </c>
      <c r="M106" s="167">
        <f t="shared" si="22"/>
        <v>6142.5</v>
      </c>
      <c r="N106" s="168">
        <v>5850</v>
      </c>
      <c r="O106" s="169">
        <v>3289.9</v>
      </c>
      <c r="P106" s="170">
        <f t="shared" si="23"/>
        <v>2560.1</v>
      </c>
      <c r="Q106" s="171"/>
      <c r="R106" s="221">
        <f t="shared" si="24"/>
        <v>9652.5000000000018</v>
      </c>
      <c r="S106" s="221">
        <f t="shared" si="26"/>
        <v>7078.5000000000018</v>
      </c>
      <c r="T106" s="221">
        <f t="shared" si="27"/>
        <v>6756.7500000000009</v>
      </c>
      <c r="U106" s="172">
        <f t="shared" si="31"/>
        <v>6435.0000000000009</v>
      </c>
      <c r="V106" s="108">
        <f>O106*1.1</f>
        <v>3618.8900000000003</v>
      </c>
      <c r="W106" s="79">
        <f>U106-V106</f>
        <v>2816.1100000000006</v>
      </c>
      <c r="X106" s="86">
        <v>2293</v>
      </c>
      <c r="Y106" s="244">
        <f t="shared" si="32"/>
        <v>3552.0000000000009</v>
      </c>
      <c r="Z106" s="245">
        <v>2883</v>
      </c>
    </row>
    <row r="107" spans="1:26" ht="12.75" x14ac:dyDescent="0.2">
      <c r="A107" s="710"/>
      <c r="B107" s="14" t="s">
        <v>40</v>
      </c>
      <c r="C107" s="16" t="s">
        <v>108</v>
      </c>
      <c r="D107" s="32" t="s">
        <v>281</v>
      </c>
      <c r="E107" s="3">
        <v>20.5</v>
      </c>
      <c r="F107" s="3">
        <v>0.22</v>
      </c>
      <c r="G107" s="34"/>
      <c r="H107" s="13">
        <v>0</v>
      </c>
      <c r="I107" s="29">
        <f t="shared" si="29"/>
        <v>0</v>
      </c>
      <c r="J107" s="30">
        <f t="shared" si="30"/>
        <v>0</v>
      </c>
      <c r="K107" s="93">
        <f t="shared" si="20"/>
        <v>10200</v>
      </c>
      <c r="L107" s="93">
        <f t="shared" si="21"/>
        <v>7480.0000000000009</v>
      </c>
      <c r="M107" s="93">
        <f t="shared" si="22"/>
        <v>7140</v>
      </c>
      <c r="N107" s="64">
        <v>6800</v>
      </c>
      <c r="O107" s="69">
        <v>4239.8999999999996</v>
      </c>
      <c r="P107" s="132">
        <f t="shared" si="23"/>
        <v>2560.1000000000004</v>
      </c>
      <c r="Q107" s="133"/>
      <c r="R107" s="218">
        <f t="shared" si="24"/>
        <v>11220.000000000002</v>
      </c>
      <c r="S107" s="218">
        <f t="shared" si="26"/>
        <v>8228.0000000000018</v>
      </c>
      <c r="T107" s="218">
        <f t="shared" si="27"/>
        <v>7854.0000000000009</v>
      </c>
      <c r="U107" s="111">
        <f t="shared" si="31"/>
        <v>7480.0000000000009</v>
      </c>
      <c r="V107" s="108">
        <f>O107*1.1</f>
        <v>4663.8900000000003</v>
      </c>
      <c r="W107" s="79">
        <f>U107-V107</f>
        <v>2816.1100000000006</v>
      </c>
      <c r="X107" s="86">
        <v>2293</v>
      </c>
      <c r="Y107" s="244">
        <f t="shared" si="32"/>
        <v>4597.0000000000009</v>
      </c>
      <c r="Z107" s="245">
        <v>2883</v>
      </c>
    </row>
    <row r="108" spans="1:26" ht="12.75" x14ac:dyDescent="0.2">
      <c r="A108" s="710"/>
      <c r="B108" s="14" t="s">
        <v>41</v>
      </c>
      <c r="C108" s="7" t="s">
        <v>255</v>
      </c>
      <c r="D108" s="32" t="s">
        <v>282</v>
      </c>
      <c r="E108" s="3">
        <v>22.5</v>
      </c>
      <c r="F108" s="3">
        <v>0.24</v>
      </c>
      <c r="G108" s="34"/>
      <c r="H108" s="13">
        <v>0</v>
      </c>
      <c r="I108" s="29">
        <f t="shared" si="29"/>
        <v>0</v>
      </c>
      <c r="J108" s="30">
        <f t="shared" si="30"/>
        <v>0</v>
      </c>
      <c r="K108" s="93">
        <f t="shared" si="20"/>
        <v>9825</v>
      </c>
      <c r="L108" s="93">
        <f t="shared" si="21"/>
        <v>7205.0000000000009</v>
      </c>
      <c r="M108" s="93">
        <f t="shared" si="22"/>
        <v>6877.5</v>
      </c>
      <c r="N108" s="64">
        <v>6550</v>
      </c>
      <c r="O108" s="69">
        <v>3480</v>
      </c>
      <c r="P108" s="132">
        <f t="shared" si="23"/>
        <v>3070</v>
      </c>
      <c r="Q108" s="133"/>
      <c r="R108" s="218">
        <f t="shared" si="24"/>
        <v>10807.500000000002</v>
      </c>
      <c r="S108" s="218">
        <f t="shared" si="26"/>
        <v>7925.5000000000018</v>
      </c>
      <c r="T108" s="218">
        <f t="shared" si="27"/>
        <v>7565.2500000000009</v>
      </c>
      <c r="U108" s="111">
        <f t="shared" si="31"/>
        <v>7205.0000000000009</v>
      </c>
      <c r="V108" s="108">
        <f>O108*1.1</f>
        <v>3828.0000000000005</v>
      </c>
      <c r="W108" s="79">
        <f>U108-V108</f>
        <v>3377.0000000000005</v>
      </c>
      <c r="X108" s="86"/>
      <c r="Y108" s="244">
        <f t="shared" si="32"/>
        <v>3765.0000000000009</v>
      </c>
      <c r="Z108" s="245">
        <v>3440</v>
      </c>
    </row>
    <row r="109" spans="1:26" ht="12.75" x14ac:dyDescent="0.2">
      <c r="A109" s="710"/>
      <c r="B109" s="14" t="s">
        <v>254</v>
      </c>
      <c r="C109" s="7" t="s">
        <v>109</v>
      </c>
      <c r="D109" s="32" t="s">
        <v>282</v>
      </c>
      <c r="E109" s="3">
        <v>30.5</v>
      </c>
      <c r="F109" s="3">
        <v>0.24</v>
      </c>
      <c r="G109" s="34"/>
      <c r="H109" s="13">
        <v>0</v>
      </c>
      <c r="I109" s="29">
        <f t="shared" si="29"/>
        <v>0</v>
      </c>
      <c r="J109" s="30">
        <f t="shared" si="30"/>
        <v>0</v>
      </c>
      <c r="K109" s="93">
        <f t="shared" si="20"/>
        <v>13125</v>
      </c>
      <c r="L109" s="93">
        <f t="shared" si="21"/>
        <v>9625</v>
      </c>
      <c r="M109" s="93">
        <f t="shared" si="22"/>
        <v>9187.5</v>
      </c>
      <c r="N109" s="64">
        <v>8750</v>
      </c>
      <c r="O109" s="69">
        <v>5681</v>
      </c>
      <c r="P109" s="132">
        <f t="shared" si="23"/>
        <v>3069</v>
      </c>
      <c r="Q109" s="133"/>
      <c r="R109" s="218">
        <f t="shared" si="24"/>
        <v>14437.5</v>
      </c>
      <c r="S109" s="218">
        <f t="shared" si="26"/>
        <v>10587.5</v>
      </c>
      <c r="T109" s="218">
        <f t="shared" si="27"/>
        <v>10106.25</v>
      </c>
      <c r="U109" s="111">
        <f t="shared" si="31"/>
        <v>9625</v>
      </c>
      <c r="V109" s="108">
        <f>O109*1.1</f>
        <v>6249.1</v>
      </c>
      <c r="W109" s="79">
        <f>U109-V109</f>
        <v>3375.8999999999996</v>
      </c>
      <c r="X109" s="86"/>
      <c r="Y109" s="244">
        <f t="shared" si="32"/>
        <v>6185</v>
      </c>
      <c r="Z109" s="245">
        <v>3440</v>
      </c>
    </row>
    <row r="110" spans="1:26" ht="13.5" hidden="1" thickBot="1" x14ac:dyDescent="0.25">
      <c r="A110" s="718"/>
      <c r="B110" s="173" t="s">
        <v>401</v>
      </c>
      <c r="C110" s="174" t="s">
        <v>82</v>
      </c>
      <c r="D110" s="209"/>
      <c r="E110" s="136">
        <v>27.5</v>
      </c>
      <c r="F110" s="176">
        <v>0.2</v>
      </c>
      <c r="G110" s="176">
        <v>6</v>
      </c>
      <c r="H110" s="178">
        <v>0</v>
      </c>
      <c r="I110" s="179">
        <f t="shared" si="29"/>
        <v>0</v>
      </c>
      <c r="J110" s="180">
        <f t="shared" si="30"/>
        <v>0</v>
      </c>
      <c r="K110" s="139">
        <f t="shared" si="20"/>
        <v>7650</v>
      </c>
      <c r="L110" s="139">
        <f t="shared" si="21"/>
        <v>5610</v>
      </c>
      <c r="M110" s="139">
        <f t="shared" si="22"/>
        <v>5355</v>
      </c>
      <c r="N110" s="140">
        <v>5100</v>
      </c>
      <c r="O110" s="141"/>
      <c r="P110" s="142">
        <f t="shared" si="23"/>
        <v>5100</v>
      </c>
      <c r="Q110" s="143"/>
      <c r="R110" s="219">
        <f t="shared" si="24"/>
        <v>8415</v>
      </c>
      <c r="S110" s="219">
        <f t="shared" si="26"/>
        <v>6171.0000000000009</v>
      </c>
      <c r="T110" s="219">
        <f t="shared" si="27"/>
        <v>5890.5</v>
      </c>
      <c r="U110" s="144">
        <f t="shared" si="31"/>
        <v>5610</v>
      </c>
      <c r="V110" s="108"/>
      <c r="W110" s="79"/>
      <c r="X110" s="86"/>
      <c r="Y110" s="244">
        <f t="shared" si="32"/>
        <v>5610</v>
      </c>
      <c r="Z110" s="245"/>
    </row>
    <row r="111" spans="1:26" ht="13.5" hidden="1" thickTop="1" x14ac:dyDescent="0.2">
      <c r="A111" s="717" t="s">
        <v>140</v>
      </c>
      <c r="B111" s="160" t="s">
        <v>184</v>
      </c>
      <c r="C111" s="181" t="s">
        <v>70</v>
      </c>
      <c r="D111" s="210"/>
      <c r="E111" s="162">
        <v>23.5</v>
      </c>
      <c r="F111" s="163">
        <v>0.16</v>
      </c>
      <c r="G111" s="163">
        <v>10</v>
      </c>
      <c r="H111" s="164">
        <v>0</v>
      </c>
      <c r="I111" s="165">
        <f t="shared" si="29"/>
        <v>0</v>
      </c>
      <c r="J111" s="166">
        <f t="shared" si="30"/>
        <v>0</v>
      </c>
      <c r="K111" s="167">
        <f t="shared" si="20"/>
        <v>6225</v>
      </c>
      <c r="L111" s="167">
        <f t="shared" si="21"/>
        <v>4565</v>
      </c>
      <c r="M111" s="167">
        <f t="shared" si="22"/>
        <v>4357.5</v>
      </c>
      <c r="N111" s="168">
        <v>4150</v>
      </c>
      <c r="O111" s="169"/>
      <c r="P111" s="170">
        <f t="shared" si="23"/>
        <v>4150</v>
      </c>
      <c r="Q111" s="171"/>
      <c r="R111" s="221">
        <f t="shared" si="24"/>
        <v>6855</v>
      </c>
      <c r="S111" s="221">
        <f t="shared" si="26"/>
        <v>5027</v>
      </c>
      <c r="T111" s="221">
        <f t="shared" si="27"/>
        <v>4798.5</v>
      </c>
      <c r="U111" s="172">
        <v>4570</v>
      </c>
      <c r="V111" s="108"/>
      <c r="W111" s="79"/>
      <c r="X111" s="86"/>
      <c r="Y111" s="244">
        <f t="shared" si="32"/>
        <v>4570</v>
      </c>
      <c r="Z111" s="245"/>
    </row>
    <row r="112" spans="1:26" ht="12.75" hidden="1" x14ac:dyDescent="0.2">
      <c r="A112" s="710"/>
      <c r="B112" s="14" t="s">
        <v>401</v>
      </c>
      <c r="C112" s="7" t="s">
        <v>82</v>
      </c>
      <c r="D112" s="45"/>
      <c r="E112" s="5">
        <v>27.5</v>
      </c>
      <c r="F112" s="3">
        <v>0.2</v>
      </c>
      <c r="G112" s="3">
        <v>6</v>
      </c>
      <c r="H112" s="13">
        <v>0</v>
      </c>
      <c r="I112" s="29">
        <f t="shared" si="29"/>
        <v>0</v>
      </c>
      <c r="J112" s="30">
        <f t="shared" si="30"/>
        <v>0</v>
      </c>
      <c r="K112" s="93">
        <f t="shared" si="20"/>
        <v>7650</v>
      </c>
      <c r="L112" s="93">
        <f t="shared" si="21"/>
        <v>5610</v>
      </c>
      <c r="M112" s="93">
        <f t="shared" si="22"/>
        <v>5355</v>
      </c>
      <c r="N112" s="64">
        <v>5100</v>
      </c>
      <c r="O112" s="69"/>
      <c r="P112" s="132">
        <f>N112-O112</f>
        <v>5100</v>
      </c>
      <c r="Q112" s="133"/>
      <c r="R112" s="218">
        <f t="shared" si="24"/>
        <v>8415</v>
      </c>
      <c r="S112" s="218">
        <f t="shared" si="26"/>
        <v>6171.0000000000009</v>
      </c>
      <c r="T112" s="218">
        <f t="shared" si="27"/>
        <v>5890.5</v>
      </c>
      <c r="U112" s="111">
        <f t="shared" si="31"/>
        <v>5610</v>
      </c>
      <c r="V112" s="108"/>
      <c r="W112" s="79"/>
      <c r="X112" s="86"/>
      <c r="Y112" s="244">
        <f t="shared" si="32"/>
        <v>5610</v>
      </c>
      <c r="Z112" s="245"/>
    </row>
    <row r="113" spans="1:26" ht="14.25" customHeight="1" x14ac:dyDescent="0.2">
      <c r="A113" s="710"/>
      <c r="B113" s="14" t="s">
        <v>256</v>
      </c>
      <c r="C113" s="7" t="s">
        <v>110</v>
      </c>
      <c r="D113" s="32" t="s">
        <v>295</v>
      </c>
      <c r="E113" s="5">
        <v>28</v>
      </c>
      <c r="F113" s="3">
        <v>0.25</v>
      </c>
      <c r="G113" s="3"/>
      <c r="H113" s="13">
        <v>0</v>
      </c>
      <c r="I113" s="29">
        <f t="shared" si="29"/>
        <v>0</v>
      </c>
      <c r="J113" s="30">
        <f t="shared" si="30"/>
        <v>0</v>
      </c>
      <c r="K113" s="93">
        <f t="shared" si="20"/>
        <v>17775</v>
      </c>
      <c r="L113" s="93">
        <f t="shared" si="21"/>
        <v>13035.000000000002</v>
      </c>
      <c r="M113" s="93">
        <f t="shared" si="22"/>
        <v>12442.5</v>
      </c>
      <c r="N113" s="64">
        <v>11850</v>
      </c>
      <c r="O113" s="69">
        <v>6162</v>
      </c>
      <c r="P113" s="132">
        <f t="shared" si="23"/>
        <v>5688</v>
      </c>
      <c r="Q113" s="133"/>
      <c r="R113" s="218">
        <f t="shared" si="24"/>
        <v>28434</v>
      </c>
      <c r="S113" s="218">
        <f t="shared" si="26"/>
        <v>20851.600000000002</v>
      </c>
      <c r="T113" s="218">
        <f t="shared" si="27"/>
        <v>19903.8</v>
      </c>
      <c r="U113" s="111">
        <v>18956</v>
      </c>
      <c r="V113" s="108">
        <f>O113*1.1</f>
        <v>6778.2000000000007</v>
      </c>
      <c r="W113" s="79">
        <f>U113-V113</f>
        <v>12177.8</v>
      </c>
      <c r="X113" s="86">
        <v>5608</v>
      </c>
      <c r="Y113" s="244">
        <f>U113-Z113</f>
        <v>6778</v>
      </c>
      <c r="Z113" s="245">
        <v>12178</v>
      </c>
    </row>
    <row r="114" spans="1:26" ht="16.5" customHeight="1" thickBot="1" x14ac:dyDescent="0.25">
      <c r="A114" s="718"/>
      <c r="B114" s="173" t="s">
        <v>257</v>
      </c>
      <c r="C114" s="174" t="s">
        <v>111</v>
      </c>
      <c r="D114" s="211" t="s">
        <v>295</v>
      </c>
      <c r="E114" s="176">
        <v>30.5</v>
      </c>
      <c r="F114" s="176">
        <v>0.42</v>
      </c>
      <c r="G114" s="177"/>
      <c r="H114" s="178">
        <v>0</v>
      </c>
      <c r="I114" s="179">
        <f t="shared" si="29"/>
        <v>0</v>
      </c>
      <c r="J114" s="180">
        <f t="shared" si="30"/>
        <v>0</v>
      </c>
      <c r="K114" s="139">
        <f t="shared" si="20"/>
        <v>22500</v>
      </c>
      <c r="L114" s="139">
        <f t="shared" si="21"/>
        <v>16500</v>
      </c>
      <c r="M114" s="139">
        <f t="shared" si="22"/>
        <v>15750</v>
      </c>
      <c r="N114" s="140">
        <v>15000</v>
      </c>
      <c r="O114" s="141">
        <v>9312</v>
      </c>
      <c r="P114" s="142">
        <f t="shared" si="23"/>
        <v>5688</v>
      </c>
      <c r="Q114" s="143"/>
      <c r="R114" s="219">
        <f t="shared" si="24"/>
        <v>33631.5</v>
      </c>
      <c r="S114" s="219">
        <f t="shared" si="26"/>
        <v>24663.100000000002</v>
      </c>
      <c r="T114" s="219">
        <f t="shared" si="27"/>
        <v>23542.05</v>
      </c>
      <c r="U114" s="144">
        <v>22421</v>
      </c>
      <c r="V114" s="108">
        <f>O114*1.1</f>
        <v>10243.200000000001</v>
      </c>
      <c r="W114" s="79">
        <f>U114-V114</f>
        <v>12177.8</v>
      </c>
      <c r="X114" s="86">
        <v>5608</v>
      </c>
      <c r="Y114" s="244">
        <f t="shared" si="32"/>
        <v>10243</v>
      </c>
      <c r="Z114" s="245">
        <v>12178</v>
      </c>
    </row>
    <row r="115" spans="1:26" ht="13.5" hidden="1" thickTop="1" x14ac:dyDescent="0.2">
      <c r="A115" s="717" t="s">
        <v>141</v>
      </c>
      <c r="B115" s="160" t="s">
        <v>498</v>
      </c>
      <c r="C115" s="181" t="s">
        <v>354</v>
      </c>
      <c r="D115" s="210"/>
      <c r="E115" s="162">
        <v>10.5</v>
      </c>
      <c r="F115" s="163">
        <v>0.02</v>
      </c>
      <c r="G115" s="163">
        <v>10</v>
      </c>
      <c r="H115" s="164">
        <v>0</v>
      </c>
      <c r="I115" s="165">
        <f t="shared" si="29"/>
        <v>0</v>
      </c>
      <c r="J115" s="166">
        <f t="shared" si="30"/>
        <v>0</v>
      </c>
      <c r="K115" s="167">
        <f t="shared" si="20"/>
        <v>6525</v>
      </c>
      <c r="L115" s="167">
        <f t="shared" si="21"/>
        <v>4785</v>
      </c>
      <c r="M115" s="167">
        <f t="shared" si="22"/>
        <v>4567.5</v>
      </c>
      <c r="N115" s="168">
        <v>4350</v>
      </c>
      <c r="O115" s="169"/>
      <c r="P115" s="170">
        <f t="shared" si="23"/>
        <v>4350</v>
      </c>
      <c r="Q115" s="171"/>
      <c r="R115" s="221">
        <f t="shared" si="24"/>
        <v>12375</v>
      </c>
      <c r="S115" s="221">
        <f t="shared" si="26"/>
        <v>9075</v>
      </c>
      <c r="T115" s="221">
        <f t="shared" si="27"/>
        <v>8662.5</v>
      </c>
      <c r="U115" s="172">
        <v>8250</v>
      </c>
      <c r="V115" s="108"/>
      <c r="W115" s="79"/>
      <c r="X115" s="86"/>
      <c r="Y115" s="244">
        <f t="shared" si="32"/>
        <v>8250</v>
      </c>
      <c r="Z115" s="245"/>
    </row>
    <row r="116" spans="1:26" ht="13.5" hidden="1" thickTop="1" x14ac:dyDescent="0.2">
      <c r="A116" s="710"/>
      <c r="B116" s="14" t="s">
        <v>499</v>
      </c>
      <c r="C116" s="7" t="s">
        <v>85</v>
      </c>
      <c r="D116" s="45"/>
      <c r="E116" s="5">
        <v>34.799999999999997</v>
      </c>
      <c r="F116" s="3">
        <v>0.25</v>
      </c>
      <c r="G116" s="3">
        <v>6</v>
      </c>
      <c r="H116" s="13">
        <v>0</v>
      </c>
      <c r="I116" s="29">
        <f t="shared" si="29"/>
        <v>0</v>
      </c>
      <c r="J116" s="30">
        <f t="shared" si="30"/>
        <v>0</v>
      </c>
      <c r="K116" s="93">
        <f t="shared" si="20"/>
        <v>11700</v>
      </c>
      <c r="L116" s="93">
        <f t="shared" si="21"/>
        <v>8580</v>
      </c>
      <c r="M116" s="93">
        <f t="shared" si="22"/>
        <v>8190</v>
      </c>
      <c r="N116" s="64">
        <v>7800</v>
      </c>
      <c r="O116" s="69"/>
      <c r="P116" s="132">
        <f t="shared" si="23"/>
        <v>7800</v>
      </c>
      <c r="Q116" s="133"/>
      <c r="R116" s="218">
        <f t="shared" si="24"/>
        <v>12870</v>
      </c>
      <c r="S116" s="218">
        <f t="shared" si="26"/>
        <v>9438</v>
      </c>
      <c r="T116" s="218">
        <f t="shared" si="27"/>
        <v>9009</v>
      </c>
      <c r="U116" s="111">
        <f t="shared" si="31"/>
        <v>8580</v>
      </c>
      <c r="V116" s="108"/>
      <c r="W116" s="79"/>
      <c r="X116" s="86"/>
      <c r="Y116" s="244">
        <f t="shared" si="32"/>
        <v>8580</v>
      </c>
      <c r="Z116" s="245"/>
    </row>
    <row r="117" spans="1:26" ht="13.5" thickTop="1" x14ac:dyDescent="0.2">
      <c r="A117" s="710"/>
      <c r="B117" s="14" t="s">
        <v>500</v>
      </c>
      <c r="C117" s="7" t="s">
        <v>92</v>
      </c>
      <c r="D117" s="32" t="s">
        <v>281</v>
      </c>
      <c r="E117" s="5">
        <v>18.399999999999999</v>
      </c>
      <c r="F117" s="3">
        <v>0.16</v>
      </c>
      <c r="G117" s="3"/>
      <c r="H117" s="13">
        <v>0</v>
      </c>
      <c r="I117" s="29">
        <f t="shared" si="29"/>
        <v>0</v>
      </c>
      <c r="J117" s="30">
        <f t="shared" si="30"/>
        <v>0</v>
      </c>
      <c r="K117" s="93">
        <f t="shared" si="20"/>
        <v>10500</v>
      </c>
      <c r="L117" s="93">
        <f t="shared" si="21"/>
        <v>7700.0000000000009</v>
      </c>
      <c r="M117" s="93">
        <f t="shared" si="22"/>
        <v>7350</v>
      </c>
      <c r="N117" s="64">
        <v>7000</v>
      </c>
      <c r="O117" s="69">
        <v>4440</v>
      </c>
      <c r="P117" s="132">
        <f t="shared" si="23"/>
        <v>2560</v>
      </c>
      <c r="Q117" s="133"/>
      <c r="R117" s="218">
        <f t="shared" si="24"/>
        <v>11550.000000000002</v>
      </c>
      <c r="S117" s="218">
        <f t="shared" si="26"/>
        <v>8470.0000000000018</v>
      </c>
      <c r="T117" s="218">
        <f t="shared" si="27"/>
        <v>8085.0000000000009</v>
      </c>
      <c r="U117" s="111">
        <f t="shared" si="31"/>
        <v>7700.0000000000009</v>
      </c>
      <c r="V117" s="108">
        <f>O117*1.1</f>
        <v>4884</v>
      </c>
      <c r="W117" s="79">
        <f>U117-V117</f>
        <v>2816.0000000000009</v>
      </c>
      <c r="X117" s="86">
        <v>2293</v>
      </c>
      <c r="Y117" s="244">
        <f t="shared" si="32"/>
        <v>4817.0000000000009</v>
      </c>
      <c r="Z117" s="245">
        <v>2883</v>
      </c>
    </row>
    <row r="118" spans="1:26" ht="13.5" thickBot="1" x14ac:dyDescent="0.25">
      <c r="A118" s="718"/>
      <c r="B118" s="173" t="s">
        <v>501</v>
      </c>
      <c r="C118" s="174" t="s">
        <v>92</v>
      </c>
      <c r="D118" s="211" t="s">
        <v>281</v>
      </c>
      <c r="E118" s="136">
        <v>19</v>
      </c>
      <c r="F118" s="176">
        <v>0.16</v>
      </c>
      <c r="G118" s="176"/>
      <c r="H118" s="178">
        <v>0</v>
      </c>
      <c r="I118" s="179">
        <f t="shared" si="29"/>
        <v>0</v>
      </c>
      <c r="J118" s="180">
        <f t="shared" si="30"/>
        <v>0</v>
      </c>
      <c r="K118" s="139">
        <f t="shared" si="20"/>
        <v>14775</v>
      </c>
      <c r="L118" s="139">
        <f t="shared" si="21"/>
        <v>10835</v>
      </c>
      <c r="M118" s="139">
        <f t="shared" si="22"/>
        <v>10342.5</v>
      </c>
      <c r="N118" s="140">
        <v>9850</v>
      </c>
      <c r="O118" s="141">
        <v>7240</v>
      </c>
      <c r="P118" s="142">
        <f t="shared" si="23"/>
        <v>2610</v>
      </c>
      <c r="Q118" s="143"/>
      <c r="R118" s="219">
        <f t="shared" si="24"/>
        <v>16252.5</v>
      </c>
      <c r="S118" s="219">
        <f t="shared" si="26"/>
        <v>11918.500000000002</v>
      </c>
      <c r="T118" s="219">
        <f t="shared" si="27"/>
        <v>11376.75</v>
      </c>
      <c r="U118" s="144">
        <f t="shared" si="31"/>
        <v>10835</v>
      </c>
      <c r="V118" s="108">
        <f>O118*1.1</f>
        <v>7964.0000000000009</v>
      </c>
      <c r="W118" s="79">
        <f>U118-V118</f>
        <v>2870.9999999999991</v>
      </c>
      <c r="X118" s="86">
        <v>2293</v>
      </c>
      <c r="Y118" s="244">
        <f t="shared" si="32"/>
        <v>7952</v>
      </c>
      <c r="Z118" s="245">
        <v>2883</v>
      </c>
    </row>
    <row r="119" spans="1:26" ht="13.5" hidden="1" thickTop="1" x14ac:dyDescent="0.2">
      <c r="A119" s="717" t="s">
        <v>142</v>
      </c>
      <c r="B119" s="160" t="s">
        <v>502</v>
      </c>
      <c r="C119" s="181" t="s">
        <v>73</v>
      </c>
      <c r="D119" s="210"/>
      <c r="E119" s="162">
        <v>13.3</v>
      </c>
      <c r="F119" s="163">
        <v>0.09</v>
      </c>
      <c r="G119" s="163">
        <v>10</v>
      </c>
      <c r="H119" s="164">
        <v>0</v>
      </c>
      <c r="I119" s="165">
        <f t="shared" si="29"/>
        <v>0</v>
      </c>
      <c r="J119" s="166">
        <f t="shared" si="30"/>
        <v>0</v>
      </c>
      <c r="K119" s="167">
        <f t="shared" si="20"/>
        <v>3525</v>
      </c>
      <c r="L119" s="167">
        <f t="shared" si="21"/>
        <v>2585</v>
      </c>
      <c r="M119" s="167">
        <f t="shared" si="22"/>
        <v>2467.5</v>
      </c>
      <c r="N119" s="168">
        <v>2350</v>
      </c>
      <c r="O119" s="169"/>
      <c r="P119" s="170">
        <f t="shared" si="23"/>
        <v>2350</v>
      </c>
      <c r="Q119" s="171"/>
      <c r="R119" s="221">
        <f t="shared" si="24"/>
        <v>4050</v>
      </c>
      <c r="S119" s="221">
        <f t="shared" si="26"/>
        <v>2970.0000000000005</v>
      </c>
      <c r="T119" s="221">
        <f t="shared" si="27"/>
        <v>2835</v>
      </c>
      <c r="U119" s="172">
        <v>2700</v>
      </c>
      <c r="V119" s="108"/>
      <c r="W119" s="79"/>
      <c r="X119" s="86"/>
      <c r="Y119" s="244">
        <f t="shared" si="32"/>
        <v>2700</v>
      </c>
      <c r="Z119" s="245"/>
    </row>
    <row r="120" spans="1:26" ht="13.5" hidden="1" thickTop="1" x14ac:dyDescent="0.2">
      <c r="A120" s="710"/>
      <c r="B120" s="14" t="s">
        <v>503</v>
      </c>
      <c r="C120" s="7" t="s">
        <v>72</v>
      </c>
      <c r="D120" s="45"/>
      <c r="E120" s="5">
        <v>18</v>
      </c>
      <c r="F120" s="3">
        <v>0.12</v>
      </c>
      <c r="G120" s="3">
        <v>10</v>
      </c>
      <c r="H120" s="13">
        <v>0</v>
      </c>
      <c r="I120" s="29">
        <f t="shared" si="29"/>
        <v>0</v>
      </c>
      <c r="J120" s="30">
        <f t="shared" si="30"/>
        <v>0</v>
      </c>
      <c r="K120" s="93">
        <f t="shared" si="20"/>
        <v>4350</v>
      </c>
      <c r="L120" s="93">
        <f t="shared" si="21"/>
        <v>3190.0000000000005</v>
      </c>
      <c r="M120" s="93">
        <f t="shared" si="22"/>
        <v>3045</v>
      </c>
      <c r="N120" s="64">
        <v>2900</v>
      </c>
      <c r="O120" s="69"/>
      <c r="P120" s="132">
        <f t="shared" si="23"/>
        <v>2900</v>
      </c>
      <c r="Q120" s="133"/>
      <c r="R120" s="218">
        <f t="shared" si="24"/>
        <v>5002.5</v>
      </c>
      <c r="S120" s="218">
        <f t="shared" si="26"/>
        <v>3668.5000000000005</v>
      </c>
      <c r="T120" s="218">
        <f t="shared" si="27"/>
        <v>3501.75</v>
      </c>
      <c r="U120" s="111">
        <v>3335</v>
      </c>
      <c r="V120" s="108"/>
      <c r="W120" s="79"/>
      <c r="X120" s="86"/>
      <c r="Y120" s="244">
        <f t="shared" si="32"/>
        <v>3335</v>
      </c>
      <c r="Z120" s="245"/>
    </row>
    <row r="121" spans="1:26" ht="13.5" hidden="1" thickTop="1" x14ac:dyDescent="0.2">
      <c r="A121" s="710"/>
      <c r="B121" s="14" t="s">
        <v>504</v>
      </c>
      <c r="C121" s="7" t="s">
        <v>71</v>
      </c>
      <c r="D121" s="45"/>
      <c r="E121" s="5">
        <v>26.5</v>
      </c>
      <c r="F121" s="3">
        <v>0.16</v>
      </c>
      <c r="G121" s="3">
        <v>8</v>
      </c>
      <c r="H121" s="13">
        <v>0</v>
      </c>
      <c r="I121" s="29">
        <f t="shared" si="29"/>
        <v>0</v>
      </c>
      <c r="J121" s="30">
        <f t="shared" si="30"/>
        <v>0</v>
      </c>
      <c r="K121" s="93">
        <f t="shared" si="20"/>
        <v>5925</v>
      </c>
      <c r="L121" s="93">
        <f t="shared" si="21"/>
        <v>4345</v>
      </c>
      <c r="M121" s="93">
        <f t="shared" si="22"/>
        <v>4147.5</v>
      </c>
      <c r="N121" s="64">
        <v>3950</v>
      </c>
      <c r="O121" s="69"/>
      <c r="P121" s="132">
        <f t="shared" si="23"/>
        <v>3950</v>
      </c>
      <c r="Q121" s="133"/>
      <c r="R121" s="218">
        <f t="shared" si="24"/>
        <v>6817.5</v>
      </c>
      <c r="S121" s="218">
        <f t="shared" si="26"/>
        <v>4999.5</v>
      </c>
      <c r="T121" s="218">
        <f t="shared" si="27"/>
        <v>4772.25</v>
      </c>
      <c r="U121" s="111">
        <v>4545</v>
      </c>
      <c r="V121" s="108"/>
      <c r="W121" s="79"/>
      <c r="X121" s="86"/>
      <c r="Y121" s="244">
        <f t="shared" si="32"/>
        <v>4545</v>
      </c>
      <c r="Z121" s="245"/>
    </row>
    <row r="122" spans="1:26" ht="13.5" hidden="1" thickTop="1" x14ac:dyDescent="0.2">
      <c r="A122" s="710"/>
      <c r="B122" s="14" t="s">
        <v>505</v>
      </c>
      <c r="C122" s="7" t="s">
        <v>78</v>
      </c>
      <c r="D122" s="45"/>
      <c r="E122" s="5">
        <v>37.5</v>
      </c>
      <c r="F122" s="3">
        <v>0.25</v>
      </c>
      <c r="G122" s="3">
        <v>6</v>
      </c>
      <c r="H122" s="13">
        <v>0</v>
      </c>
      <c r="I122" s="29">
        <f t="shared" si="29"/>
        <v>0</v>
      </c>
      <c r="J122" s="30">
        <f t="shared" si="30"/>
        <v>0</v>
      </c>
      <c r="K122" s="93">
        <f t="shared" si="20"/>
        <v>7650</v>
      </c>
      <c r="L122" s="93">
        <f t="shared" si="21"/>
        <v>5610</v>
      </c>
      <c r="M122" s="93">
        <f t="shared" si="22"/>
        <v>5355</v>
      </c>
      <c r="N122" s="64">
        <v>5100</v>
      </c>
      <c r="O122" s="69"/>
      <c r="P122" s="132">
        <f t="shared" si="23"/>
        <v>5100</v>
      </c>
      <c r="Q122" s="133"/>
      <c r="R122" s="218">
        <f t="shared" si="24"/>
        <v>8797.5</v>
      </c>
      <c r="S122" s="218">
        <f t="shared" si="26"/>
        <v>6451.5000000000009</v>
      </c>
      <c r="T122" s="218">
        <f t="shared" si="27"/>
        <v>6158.25</v>
      </c>
      <c r="U122" s="111">
        <v>5865</v>
      </c>
      <c r="V122" s="108"/>
      <c r="W122" s="79"/>
      <c r="X122" s="86"/>
      <c r="Y122" s="244">
        <f t="shared" si="32"/>
        <v>5865</v>
      </c>
      <c r="Z122" s="245"/>
    </row>
    <row r="123" spans="1:26" ht="13.5" hidden="1" thickTop="1" x14ac:dyDescent="0.2">
      <c r="A123" s="710"/>
      <c r="B123" s="14" t="s">
        <v>506</v>
      </c>
      <c r="C123" s="7" t="s">
        <v>78</v>
      </c>
      <c r="D123" s="45"/>
      <c r="E123" s="5">
        <v>39.5</v>
      </c>
      <c r="F123" s="3">
        <v>0.25</v>
      </c>
      <c r="G123" s="3">
        <v>6</v>
      </c>
      <c r="H123" s="13">
        <v>0</v>
      </c>
      <c r="I123" s="29">
        <f t="shared" si="29"/>
        <v>0</v>
      </c>
      <c r="J123" s="30">
        <f t="shared" si="30"/>
        <v>0</v>
      </c>
      <c r="K123" s="93">
        <f t="shared" si="20"/>
        <v>10800</v>
      </c>
      <c r="L123" s="93">
        <f t="shared" si="21"/>
        <v>7920.0000000000009</v>
      </c>
      <c r="M123" s="93">
        <f t="shared" si="22"/>
        <v>7560</v>
      </c>
      <c r="N123" s="64">
        <v>7200</v>
      </c>
      <c r="O123" s="69"/>
      <c r="P123" s="132">
        <f t="shared" si="23"/>
        <v>7200</v>
      </c>
      <c r="Q123" s="133"/>
      <c r="R123" s="218">
        <f t="shared" si="24"/>
        <v>12420</v>
      </c>
      <c r="S123" s="218">
        <f t="shared" si="26"/>
        <v>9108</v>
      </c>
      <c r="T123" s="218">
        <f t="shared" si="27"/>
        <v>8694</v>
      </c>
      <c r="U123" s="111">
        <v>8280</v>
      </c>
      <c r="V123" s="108"/>
      <c r="W123" s="79"/>
      <c r="X123" s="86"/>
      <c r="Y123" s="244">
        <f t="shared" si="32"/>
        <v>8280</v>
      </c>
      <c r="Z123" s="245"/>
    </row>
    <row r="124" spans="1:26" ht="13.5" hidden="1" thickTop="1" x14ac:dyDescent="0.2">
      <c r="A124" s="710"/>
      <c r="B124" s="14" t="s">
        <v>507</v>
      </c>
      <c r="C124" s="7" t="s">
        <v>79</v>
      </c>
      <c r="D124" s="45"/>
      <c r="E124" s="5">
        <v>26.5</v>
      </c>
      <c r="F124" s="3">
        <v>0.14000000000000001</v>
      </c>
      <c r="G124" s="3">
        <v>8</v>
      </c>
      <c r="H124" s="13">
        <v>0</v>
      </c>
      <c r="I124" s="29">
        <f t="shared" si="29"/>
        <v>0</v>
      </c>
      <c r="J124" s="30">
        <f t="shared" si="30"/>
        <v>0</v>
      </c>
      <c r="K124" s="93">
        <f t="shared" si="20"/>
        <v>7350</v>
      </c>
      <c r="L124" s="93">
        <f t="shared" si="21"/>
        <v>5390</v>
      </c>
      <c r="M124" s="93">
        <f t="shared" si="22"/>
        <v>5145</v>
      </c>
      <c r="N124" s="64">
        <v>4900</v>
      </c>
      <c r="O124" s="69"/>
      <c r="P124" s="132">
        <f t="shared" si="23"/>
        <v>4900</v>
      </c>
      <c r="Q124" s="133"/>
      <c r="R124" s="218">
        <f t="shared" si="24"/>
        <v>8475</v>
      </c>
      <c r="S124" s="218">
        <f t="shared" si="26"/>
        <v>6215.0000000000009</v>
      </c>
      <c r="T124" s="218">
        <f t="shared" si="27"/>
        <v>5932.5</v>
      </c>
      <c r="U124" s="111">
        <v>5650</v>
      </c>
      <c r="V124" s="108"/>
      <c r="W124" s="79"/>
      <c r="X124" s="86"/>
      <c r="Y124" s="244">
        <f t="shared" si="32"/>
        <v>5650</v>
      </c>
      <c r="Z124" s="245"/>
    </row>
    <row r="125" spans="1:26" ht="13.5" hidden="1" thickTop="1" x14ac:dyDescent="0.2">
      <c r="A125" s="710"/>
      <c r="B125" s="14" t="s">
        <v>508</v>
      </c>
      <c r="C125" s="7" t="s">
        <v>79</v>
      </c>
      <c r="D125" s="45"/>
      <c r="E125" s="5">
        <v>26.5</v>
      </c>
      <c r="F125" s="3">
        <v>0.14000000000000001</v>
      </c>
      <c r="G125" s="3">
        <v>8</v>
      </c>
      <c r="H125" s="13">
        <v>0</v>
      </c>
      <c r="I125" s="29">
        <f t="shared" si="29"/>
        <v>0</v>
      </c>
      <c r="J125" s="30">
        <f t="shared" si="30"/>
        <v>0</v>
      </c>
      <c r="K125" s="93">
        <f t="shared" si="20"/>
        <v>7350</v>
      </c>
      <c r="L125" s="93">
        <f t="shared" si="21"/>
        <v>5390</v>
      </c>
      <c r="M125" s="93">
        <f t="shared" si="22"/>
        <v>5145</v>
      </c>
      <c r="N125" s="64">
        <v>4900</v>
      </c>
      <c r="O125" s="69"/>
      <c r="P125" s="132">
        <f t="shared" si="23"/>
        <v>4900</v>
      </c>
      <c r="Q125" s="133"/>
      <c r="R125" s="218">
        <f t="shared" si="24"/>
        <v>8475</v>
      </c>
      <c r="S125" s="218">
        <f t="shared" si="26"/>
        <v>6215.0000000000009</v>
      </c>
      <c r="T125" s="218">
        <f t="shared" si="27"/>
        <v>5932.5</v>
      </c>
      <c r="U125" s="111">
        <v>5650</v>
      </c>
      <c r="V125" s="108"/>
      <c r="W125" s="79"/>
      <c r="X125" s="86"/>
      <c r="Y125" s="244">
        <f t="shared" si="32"/>
        <v>5650</v>
      </c>
      <c r="Z125" s="245"/>
    </row>
    <row r="126" spans="1:26" ht="13.5" thickTop="1" x14ac:dyDescent="0.2">
      <c r="A126" s="710"/>
      <c r="B126" s="14" t="s">
        <v>509</v>
      </c>
      <c r="C126" s="7" t="s">
        <v>114</v>
      </c>
      <c r="D126" s="32" t="s">
        <v>296</v>
      </c>
      <c r="E126" s="5">
        <v>20</v>
      </c>
      <c r="F126" s="3">
        <v>0.13</v>
      </c>
      <c r="G126" s="3"/>
      <c r="H126" s="13">
        <v>0</v>
      </c>
      <c r="I126" s="29">
        <f t="shared" si="29"/>
        <v>0</v>
      </c>
      <c r="J126" s="30">
        <f t="shared" si="30"/>
        <v>0</v>
      </c>
      <c r="K126" s="93">
        <f t="shared" si="20"/>
        <v>6450</v>
      </c>
      <c r="L126" s="93">
        <f t="shared" si="21"/>
        <v>4730</v>
      </c>
      <c r="M126" s="93">
        <f t="shared" si="22"/>
        <v>4515</v>
      </c>
      <c r="N126" s="64">
        <v>4300</v>
      </c>
      <c r="O126" s="69">
        <v>2961.4</v>
      </c>
      <c r="P126" s="132">
        <f t="shared" si="23"/>
        <v>1338.6</v>
      </c>
      <c r="Q126" s="133"/>
      <c r="R126" s="218">
        <f t="shared" si="24"/>
        <v>7425</v>
      </c>
      <c r="S126" s="218">
        <f t="shared" si="26"/>
        <v>5445</v>
      </c>
      <c r="T126" s="218">
        <f t="shared" si="27"/>
        <v>5197.5</v>
      </c>
      <c r="U126" s="111">
        <v>4950</v>
      </c>
      <c r="V126" s="108">
        <f>O126*1.1</f>
        <v>3257.5400000000004</v>
      </c>
      <c r="W126" s="79">
        <f>U126-V126</f>
        <v>1692.4599999999996</v>
      </c>
      <c r="X126" s="86">
        <v>1195</v>
      </c>
      <c r="Y126" s="244">
        <f t="shared" si="32"/>
        <v>3497</v>
      </c>
      <c r="Z126" s="245">
        <v>1453</v>
      </c>
    </row>
    <row r="127" spans="1:26" ht="12.75" x14ac:dyDescent="0.2">
      <c r="A127" s="710"/>
      <c r="B127" s="14" t="s">
        <v>510</v>
      </c>
      <c r="C127" s="7" t="s">
        <v>113</v>
      </c>
      <c r="D127" s="32" t="s">
        <v>296</v>
      </c>
      <c r="E127" s="5">
        <v>25</v>
      </c>
      <c r="F127" s="3">
        <v>0.18</v>
      </c>
      <c r="G127" s="3"/>
      <c r="H127" s="13">
        <v>0</v>
      </c>
      <c r="I127" s="29">
        <f t="shared" si="29"/>
        <v>0</v>
      </c>
      <c r="J127" s="30">
        <f t="shared" si="30"/>
        <v>0</v>
      </c>
      <c r="K127" s="93">
        <f t="shared" si="20"/>
        <v>7800</v>
      </c>
      <c r="L127" s="93">
        <f t="shared" si="21"/>
        <v>5720.0000000000009</v>
      </c>
      <c r="M127" s="93">
        <f t="shared" si="22"/>
        <v>5460</v>
      </c>
      <c r="N127" s="64">
        <v>5200</v>
      </c>
      <c r="O127" s="69">
        <v>3861.4</v>
      </c>
      <c r="P127" s="132">
        <f t="shared" si="23"/>
        <v>1338.6</v>
      </c>
      <c r="Q127" s="133"/>
      <c r="R127" s="218">
        <f t="shared" si="24"/>
        <v>8970</v>
      </c>
      <c r="S127" s="218">
        <f t="shared" si="26"/>
        <v>6578.0000000000009</v>
      </c>
      <c r="T127" s="218">
        <f t="shared" si="27"/>
        <v>6279</v>
      </c>
      <c r="U127" s="111">
        <v>5980</v>
      </c>
      <c r="V127" s="108">
        <f>O127*1.1</f>
        <v>4247.5400000000009</v>
      </c>
      <c r="W127" s="79">
        <f>U127-V127</f>
        <v>1732.4599999999991</v>
      </c>
      <c r="X127" s="86">
        <v>1195</v>
      </c>
      <c r="Y127" s="244">
        <f t="shared" si="32"/>
        <v>4527</v>
      </c>
      <c r="Z127" s="245">
        <v>1453</v>
      </c>
    </row>
    <row r="128" spans="1:26" ht="13.5" thickBot="1" x14ac:dyDescent="0.25">
      <c r="A128" s="718"/>
      <c r="B128" s="173" t="s">
        <v>511</v>
      </c>
      <c r="C128" s="174" t="s">
        <v>112</v>
      </c>
      <c r="D128" s="211" t="s">
        <v>296</v>
      </c>
      <c r="E128" s="136">
        <v>36.5</v>
      </c>
      <c r="F128" s="176">
        <v>0.25</v>
      </c>
      <c r="G128" s="176"/>
      <c r="H128" s="178">
        <v>0</v>
      </c>
      <c r="I128" s="179">
        <f t="shared" si="29"/>
        <v>0</v>
      </c>
      <c r="J128" s="180">
        <f t="shared" si="30"/>
        <v>0</v>
      </c>
      <c r="K128" s="139">
        <f t="shared" si="20"/>
        <v>9150</v>
      </c>
      <c r="L128" s="139">
        <f t="shared" si="21"/>
        <v>6710.0000000000009</v>
      </c>
      <c r="M128" s="139">
        <f t="shared" si="22"/>
        <v>6405</v>
      </c>
      <c r="N128" s="140">
        <v>6100</v>
      </c>
      <c r="O128" s="141">
        <v>4761.3999999999996</v>
      </c>
      <c r="P128" s="142">
        <f t="shared" si="23"/>
        <v>1338.6000000000004</v>
      </c>
      <c r="Q128" s="143"/>
      <c r="R128" s="219">
        <f t="shared" si="24"/>
        <v>10522.5</v>
      </c>
      <c r="S128" s="219">
        <f t="shared" si="26"/>
        <v>7716.5000000000009</v>
      </c>
      <c r="T128" s="219">
        <f t="shared" si="27"/>
        <v>7365.75</v>
      </c>
      <c r="U128" s="144">
        <v>7015</v>
      </c>
      <c r="V128" s="108">
        <f>O128*1.1</f>
        <v>5237.54</v>
      </c>
      <c r="W128" s="79">
        <f>U128-V128</f>
        <v>1777.46</v>
      </c>
      <c r="X128" s="86">
        <v>1195</v>
      </c>
      <c r="Y128" s="244">
        <f t="shared" si="32"/>
        <v>5562</v>
      </c>
      <c r="Z128" s="245">
        <v>1453</v>
      </c>
    </row>
    <row r="129" spans="1:26" ht="13.5" hidden="1" thickTop="1" x14ac:dyDescent="0.2">
      <c r="A129" s="719" t="s">
        <v>346</v>
      </c>
      <c r="B129" s="212" t="s">
        <v>356</v>
      </c>
      <c r="C129" s="183" t="s">
        <v>360</v>
      </c>
      <c r="D129" s="213"/>
      <c r="E129" s="184">
        <v>12.5</v>
      </c>
      <c r="F129" s="163">
        <v>0.09</v>
      </c>
      <c r="G129" s="185">
        <v>10</v>
      </c>
      <c r="H129" s="164">
        <v>0</v>
      </c>
      <c r="I129" s="165">
        <f t="shared" si="29"/>
        <v>0</v>
      </c>
      <c r="J129" s="166">
        <f t="shared" si="30"/>
        <v>0</v>
      </c>
      <c r="K129" s="167">
        <f t="shared" si="20"/>
        <v>6525</v>
      </c>
      <c r="L129" s="167">
        <f t="shared" si="21"/>
        <v>4785</v>
      </c>
      <c r="M129" s="167">
        <f t="shared" si="22"/>
        <v>4567.5</v>
      </c>
      <c r="N129" s="168">
        <v>4350</v>
      </c>
      <c r="O129" s="169"/>
      <c r="P129" s="170">
        <f t="shared" si="23"/>
        <v>4350</v>
      </c>
      <c r="Q129" s="171"/>
      <c r="R129" s="221">
        <f t="shared" si="24"/>
        <v>7185</v>
      </c>
      <c r="S129" s="221">
        <f t="shared" si="26"/>
        <v>5269</v>
      </c>
      <c r="T129" s="221">
        <f t="shared" si="27"/>
        <v>5029.5</v>
      </c>
      <c r="U129" s="172">
        <v>4790</v>
      </c>
      <c r="V129" s="108"/>
      <c r="W129" s="79"/>
      <c r="X129" s="86"/>
      <c r="Y129" s="244">
        <f t="shared" si="32"/>
        <v>4790</v>
      </c>
      <c r="Z129" s="245"/>
    </row>
    <row r="130" spans="1:26" ht="13.5" hidden="1" thickTop="1" x14ac:dyDescent="0.2">
      <c r="A130" s="713"/>
      <c r="B130" s="43" t="s">
        <v>357</v>
      </c>
      <c r="C130" s="35" t="s">
        <v>361</v>
      </c>
      <c r="D130" s="47"/>
      <c r="E130" s="36"/>
      <c r="F130" s="34"/>
      <c r="G130" s="34"/>
      <c r="H130" s="13">
        <v>0</v>
      </c>
      <c r="I130" s="29">
        <f t="shared" si="29"/>
        <v>0</v>
      </c>
      <c r="J130" s="30">
        <f t="shared" si="30"/>
        <v>0</v>
      </c>
      <c r="K130" s="93">
        <f t="shared" si="20"/>
        <v>0</v>
      </c>
      <c r="L130" s="93">
        <f t="shared" si="21"/>
        <v>0</v>
      </c>
      <c r="M130" s="93">
        <f t="shared" si="22"/>
        <v>0</v>
      </c>
      <c r="N130" s="64">
        <v>0</v>
      </c>
      <c r="O130" s="69"/>
      <c r="P130" s="132">
        <f t="shared" si="23"/>
        <v>0</v>
      </c>
      <c r="Q130" s="133"/>
      <c r="R130" s="218">
        <f t="shared" si="24"/>
        <v>0</v>
      </c>
      <c r="S130" s="218">
        <f t="shared" si="26"/>
        <v>0</v>
      </c>
      <c r="T130" s="218">
        <f t="shared" si="27"/>
        <v>0</v>
      </c>
      <c r="U130" s="111">
        <f t="shared" si="31"/>
        <v>0</v>
      </c>
      <c r="V130" s="108"/>
      <c r="W130" s="79"/>
      <c r="X130" s="86"/>
      <c r="Y130" s="244">
        <f t="shared" si="32"/>
        <v>0</v>
      </c>
      <c r="Z130" s="245"/>
    </row>
    <row r="131" spans="1:26" s="26" customFormat="1" ht="13.5" hidden="1" thickTop="1" x14ac:dyDescent="0.2">
      <c r="A131" s="713"/>
      <c r="B131" s="43" t="s">
        <v>358</v>
      </c>
      <c r="C131" s="35" t="s">
        <v>362</v>
      </c>
      <c r="D131" s="35"/>
      <c r="E131" s="36"/>
      <c r="F131" s="34"/>
      <c r="G131" s="34"/>
      <c r="H131" s="13">
        <v>0</v>
      </c>
      <c r="I131" s="29">
        <f t="shared" si="29"/>
        <v>0</v>
      </c>
      <c r="J131" s="30">
        <f t="shared" si="30"/>
        <v>0</v>
      </c>
      <c r="K131" s="93">
        <f t="shared" si="20"/>
        <v>0</v>
      </c>
      <c r="L131" s="93">
        <f t="shared" si="21"/>
        <v>0</v>
      </c>
      <c r="M131" s="93">
        <f t="shared" si="22"/>
        <v>0</v>
      </c>
      <c r="N131" s="64">
        <v>0</v>
      </c>
      <c r="O131" s="69"/>
      <c r="P131" s="132">
        <f t="shared" si="23"/>
        <v>0</v>
      </c>
      <c r="Q131" s="133"/>
      <c r="R131" s="218">
        <f t="shared" si="24"/>
        <v>0</v>
      </c>
      <c r="S131" s="218">
        <f t="shared" si="26"/>
        <v>0</v>
      </c>
      <c r="T131" s="218">
        <f t="shared" si="27"/>
        <v>0</v>
      </c>
      <c r="U131" s="111">
        <f t="shared" si="31"/>
        <v>0</v>
      </c>
      <c r="V131" s="108"/>
      <c r="W131" s="79"/>
      <c r="X131" s="86"/>
      <c r="Y131" s="244">
        <f t="shared" si="32"/>
        <v>0</v>
      </c>
      <c r="Z131" s="245"/>
    </row>
    <row r="132" spans="1:26" s="26" customFormat="1" ht="14.25" hidden="1" thickTop="1" thickBot="1" x14ac:dyDescent="0.25">
      <c r="A132" s="720"/>
      <c r="B132" s="214" t="s">
        <v>359</v>
      </c>
      <c r="C132" s="215" t="s">
        <v>363</v>
      </c>
      <c r="D132" s="215"/>
      <c r="E132" s="192"/>
      <c r="F132" s="177"/>
      <c r="G132" s="177"/>
      <c r="H132" s="178">
        <v>0</v>
      </c>
      <c r="I132" s="179">
        <f t="shared" si="29"/>
        <v>0</v>
      </c>
      <c r="J132" s="180">
        <f t="shared" si="30"/>
        <v>0</v>
      </c>
      <c r="K132" s="139">
        <f t="shared" ref="K132:K190" si="33">N132*1.5</f>
        <v>0</v>
      </c>
      <c r="L132" s="139">
        <f t="shared" ref="L132:L190" si="34">N132*1.1</f>
        <v>0</v>
      </c>
      <c r="M132" s="139">
        <f t="shared" ref="M132:M190" si="35">N132*1.05</f>
        <v>0</v>
      </c>
      <c r="N132" s="140">
        <v>0</v>
      </c>
      <c r="O132" s="141"/>
      <c r="P132" s="142">
        <f t="shared" ref="P132:P190" si="36">N132-O132</f>
        <v>0</v>
      </c>
      <c r="Q132" s="143"/>
      <c r="R132" s="219">
        <f t="shared" ref="R132:R168" si="37">U132*1.5</f>
        <v>0</v>
      </c>
      <c r="S132" s="219">
        <f t="shared" si="26"/>
        <v>0</v>
      </c>
      <c r="T132" s="219">
        <f t="shared" si="27"/>
        <v>0</v>
      </c>
      <c r="U132" s="144">
        <f t="shared" si="31"/>
        <v>0</v>
      </c>
      <c r="V132" s="108"/>
      <c r="W132" s="79"/>
      <c r="X132" s="86"/>
      <c r="Y132" s="244">
        <f t="shared" ref="Y132:Y163" si="38">U132-Z132</f>
        <v>0</v>
      </c>
      <c r="Z132" s="245"/>
    </row>
    <row r="133" spans="1:26" ht="13.5" hidden="1" thickTop="1" x14ac:dyDescent="0.2">
      <c r="A133" s="717" t="s">
        <v>159</v>
      </c>
      <c r="B133" s="160" t="s">
        <v>426</v>
      </c>
      <c r="C133" s="181" t="s">
        <v>68</v>
      </c>
      <c r="D133" s="210"/>
      <c r="E133" s="162">
        <v>15.2</v>
      </c>
      <c r="F133" s="163">
        <v>0.09</v>
      </c>
      <c r="G133" s="163">
        <v>10</v>
      </c>
      <c r="H133" s="164">
        <v>0</v>
      </c>
      <c r="I133" s="165">
        <f t="shared" si="29"/>
        <v>0</v>
      </c>
      <c r="J133" s="166">
        <f t="shared" si="30"/>
        <v>0</v>
      </c>
      <c r="K133" s="167">
        <f t="shared" si="33"/>
        <v>2625</v>
      </c>
      <c r="L133" s="167">
        <f t="shared" si="34"/>
        <v>1925.0000000000002</v>
      </c>
      <c r="M133" s="167">
        <f t="shared" si="35"/>
        <v>1837.5</v>
      </c>
      <c r="N133" s="168">
        <v>1750</v>
      </c>
      <c r="O133" s="169"/>
      <c r="P133" s="170">
        <f t="shared" si="36"/>
        <v>1750</v>
      </c>
      <c r="Q133" s="171"/>
      <c r="R133" s="221">
        <f t="shared" si="37"/>
        <v>3015</v>
      </c>
      <c r="S133" s="221">
        <f t="shared" ref="S133:S168" si="39">U133*1.1</f>
        <v>2211</v>
      </c>
      <c r="T133" s="221">
        <f t="shared" ref="T133:T168" si="40">U133*1.05</f>
        <v>2110.5</v>
      </c>
      <c r="U133" s="172">
        <v>2010</v>
      </c>
      <c r="V133" s="108"/>
      <c r="W133" s="79"/>
      <c r="X133" s="86"/>
      <c r="Y133" s="244">
        <f t="shared" si="38"/>
        <v>2010</v>
      </c>
      <c r="Z133" s="245"/>
    </row>
    <row r="134" spans="1:26" ht="14.25" customHeight="1" thickTop="1" thickBot="1" x14ac:dyDescent="0.25">
      <c r="A134" s="718"/>
      <c r="B134" s="173" t="s">
        <v>261</v>
      </c>
      <c r="C134" s="174" t="s">
        <v>115</v>
      </c>
      <c r="D134" s="211" t="s">
        <v>292</v>
      </c>
      <c r="E134" s="136">
        <v>18.2</v>
      </c>
      <c r="F134" s="176">
        <v>0.17</v>
      </c>
      <c r="G134" s="176"/>
      <c r="H134" s="178">
        <v>0</v>
      </c>
      <c r="I134" s="179">
        <f t="shared" si="29"/>
        <v>0</v>
      </c>
      <c r="J134" s="180">
        <f t="shared" si="30"/>
        <v>0</v>
      </c>
      <c r="K134" s="139">
        <f t="shared" si="33"/>
        <v>5775</v>
      </c>
      <c r="L134" s="139">
        <f t="shared" si="34"/>
        <v>4235</v>
      </c>
      <c r="M134" s="139">
        <f t="shared" si="35"/>
        <v>4042.5</v>
      </c>
      <c r="N134" s="140">
        <v>3850</v>
      </c>
      <c r="O134" s="141">
        <v>2356</v>
      </c>
      <c r="P134" s="142">
        <f t="shared" si="36"/>
        <v>1494</v>
      </c>
      <c r="Q134" s="143"/>
      <c r="R134" s="219">
        <f t="shared" si="37"/>
        <v>6352.5</v>
      </c>
      <c r="S134" s="219">
        <f t="shared" si="39"/>
        <v>4658.5</v>
      </c>
      <c r="T134" s="219">
        <f t="shared" si="40"/>
        <v>4446.75</v>
      </c>
      <c r="U134" s="144">
        <f t="shared" si="31"/>
        <v>4235</v>
      </c>
      <c r="V134" s="108">
        <f>O134*1.1</f>
        <v>2591.6000000000004</v>
      </c>
      <c r="W134" s="79">
        <f t="shared" ref="W134:W185" si="41">U134-V134</f>
        <v>1643.3999999999996</v>
      </c>
      <c r="X134" s="86">
        <v>1040</v>
      </c>
      <c r="Y134" s="244">
        <f t="shared" si="38"/>
        <v>2748</v>
      </c>
      <c r="Z134" s="245">
        <v>1487</v>
      </c>
    </row>
    <row r="135" spans="1:26" ht="13.5" hidden="1" thickTop="1" x14ac:dyDescent="0.2">
      <c r="A135" s="717" t="s">
        <v>143</v>
      </c>
      <c r="B135" s="160" t="s">
        <v>44</v>
      </c>
      <c r="C135" s="181" t="s">
        <v>71</v>
      </c>
      <c r="D135" s="210"/>
      <c r="E135" s="162">
        <v>25.5</v>
      </c>
      <c r="F135" s="163">
        <v>0.16</v>
      </c>
      <c r="G135" s="163">
        <v>8</v>
      </c>
      <c r="H135" s="164">
        <v>0</v>
      </c>
      <c r="I135" s="165">
        <f t="shared" si="29"/>
        <v>0</v>
      </c>
      <c r="J135" s="166">
        <f t="shared" si="30"/>
        <v>0</v>
      </c>
      <c r="K135" s="167">
        <f t="shared" si="33"/>
        <v>6225</v>
      </c>
      <c r="L135" s="167">
        <f t="shared" si="34"/>
        <v>4565</v>
      </c>
      <c r="M135" s="167">
        <f t="shared" si="35"/>
        <v>4357.5</v>
      </c>
      <c r="N135" s="168">
        <v>4150</v>
      </c>
      <c r="O135" s="169"/>
      <c r="P135" s="170">
        <f t="shared" si="36"/>
        <v>4150</v>
      </c>
      <c r="Q135" s="171"/>
      <c r="R135" s="221">
        <f t="shared" si="37"/>
        <v>7200</v>
      </c>
      <c r="S135" s="221">
        <f t="shared" si="39"/>
        <v>5280</v>
      </c>
      <c r="T135" s="221">
        <f t="shared" si="40"/>
        <v>5040</v>
      </c>
      <c r="U135" s="172">
        <v>4800</v>
      </c>
      <c r="V135" s="108"/>
      <c r="W135" s="79"/>
      <c r="X135" s="86"/>
      <c r="Y135" s="244">
        <f t="shared" si="38"/>
        <v>4800</v>
      </c>
      <c r="Z135" s="245"/>
    </row>
    <row r="136" spans="1:26" ht="13.5" hidden="1" thickTop="1" x14ac:dyDescent="0.2">
      <c r="A136" s="710"/>
      <c r="B136" s="14" t="s">
        <v>401</v>
      </c>
      <c r="C136" s="7" t="s">
        <v>82</v>
      </c>
      <c r="D136" s="7"/>
      <c r="E136" s="5"/>
      <c r="F136" s="3"/>
      <c r="G136" s="3"/>
      <c r="H136" s="13"/>
      <c r="I136" s="29"/>
      <c r="J136" s="63"/>
      <c r="K136" s="93">
        <f t="shared" si="33"/>
        <v>7650</v>
      </c>
      <c r="L136" s="93">
        <f t="shared" si="34"/>
        <v>5610</v>
      </c>
      <c r="M136" s="93">
        <f t="shared" si="35"/>
        <v>5355</v>
      </c>
      <c r="N136" s="64">
        <v>5100</v>
      </c>
      <c r="O136" s="69"/>
      <c r="P136" s="132">
        <f>N136-O136</f>
        <v>5100</v>
      </c>
      <c r="Q136" s="133"/>
      <c r="R136" s="218">
        <f t="shared" si="37"/>
        <v>8415</v>
      </c>
      <c r="S136" s="218">
        <f t="shared" si="39"/>
        <v>6171.0000000000009</v>
      </c>
      <c r="T136" s="218">
        <f t="shared" si="40"/>
        <v>5890.5</v>
      </c>
      <c r="U136" s="111">
        <f>N136*1.1</f>
        <v>5610</v>
      </c>
      <c r="V136" s="108"/>
      <c r="W136" s="79"/>
      <c r="X136" s="86"/>
      <c r="Y136" s="244">
        <f t="shared" si="38"/>
        <v>5610</v>
      </c>
      <c r="Z136" s="245"/>
    </row>
    <row r="137" spans="1:26" ht="14.25" thickTop="1" thickBot="1" x14ac:dyDescent="0.25">
      <c r="A137" s="718"/>
      <c r="B137" s="173" t="s">
        <v>512</v>
      </c>
      <c r="C137" s="174" t="s">
        <v>112</v>
      </c>
      <c r="D137" s="211" t="s">
        <v>296</v>
      </c>
      <c r="E137" s="136">
        <v>47.2</v>
      </c>
      <c r="F137" s="176">
        <v>0.26</v>
      </c>
      <c r="G137" s="176">
        <v>4</v>
      </c>
      <c r="H137" s="178">
        <v>0</v>
      </c>
      <c r="I137" s="179">
        <f t="shared" ref="I137:I168" si="42">H137*E137</f>
        <v>0</v>
      </c>
      <c r="J137" s="180">
        <f t="shared" ref="J137:J168" si="43">F137*H137</f>
        <v>0</v>
      </c>
      <c r="K137" s="139">
        <f t="shared" si="33"/>
        <v>22200</v>
      </c>
      <c r="L137" s="139">
        <f t="shared" si="34"/>
        <v>16280.000000000002</v>
      </c>
      <c r="M137" s="139">
        <f t="shared" si="35"/>
        <v>15540</v>
      </c>
      <c r="N137" s="140">
        <v>14800</v>
      </c>
      <c r="O137" s="141">
        <v>13461.4</v>
      </c>
      <c r="P137" s="142">
        <f t="shared" si="36"/>
        <v>1338.6000000000004</v>
      </c>
      <c r="Q137" s="143"/>
      <c r="R137" s="236">
        <f t="shared" si="37"/>
        <v>25500</v>
      </c>
      <c r="S137" s="236">
        <f t="shared" si="39"/>
        <v>18700</v>
      </c>
      <c r="T137" s="236">
        <f t="shared" si="40"/>
        <v>17850</v>
      </c>
      <c r="U137" s="237">
        <v>17000</v>
      </c>
      <c r="V137" s="108">
        <f>O137*1.1</f>
        <v>14807.54</v>
      </c>
      <c r="W137" s="79">
        <f t="shared" si="41"/>
        <v>2192.4599999999991</v>
      </c>
      <c r="X137" s="86">
        <v>1195</v>
      </c>
      <c r="Y137" s="244">
        <f t="shared" si="38"/>
        <v>15547</v>
      </c>
      <c r="Z137" s="245">
        <v>1453</v>
      </c>
    </row>
    <row r="138" spans="1:26" ht="14.25" hidden="1" thickTop="1" thickBot="1" x14ac:dyDescent="0.25">
      <c r="A138" s="721" t="s">
        <v>524</v>
      </c>
      <c r="B138" s="48" t="s">
        <v>525</v>
      </c>
      <c r="C138" s="239" t="s">
        <v>74</v>
      </c>
      <c r="D138" s="40"/>
      <c r="E138" s="231"/>
      <c r="F138" s="231"/>
      <c r="G138" s="231"/>
      <c r="H138" s="232"/>
      <c r="I138" s="231"/>
      <c r="J138" s="231"/>
      <c r="K138" s="233">
        <f>N138*1.5</f>
        <v>0</v>
      </c>
      <c r="L138" s="233">
        <f>N138*1.1</f>
        <v>0</v>
      </c>
      <c r="M138" s="233">
        <f>N138*1.05</f>
        <v>0</v>
      </c>
      <c r="N138" s="234"/>
      <c r="O138" s="83"/>
      <c r="P138" s="235">
        <f>N138-O138</f>
        <v>0</v>
      </c>
      <c r="Q138" s="143"/>
      <c r="R138" s="236">
        <f t="shared" si="37"/>
        <v>2850</v>
      </c>
      <c r="S138" s="236">
        <f t="shared" si="39"/>
        <v>2090</v>
      </c>
      <c r="T138" s="236">
        <f t="shared" si="40"/>
        <v>1995</v>
      </c>
      <c r="U138" s="238">
        <v>1900</v>
      </c>
      <c r="V138" s="119">
        <f>O138*1.1</f>
        <v>0</v>
      </c>
      <c r="W138" s="89">
        <f>U138-V138</f>
        <v>1900</v>
      </c>
      <c r="X138" s="90"/>
      <c r="Y138" s="244">
        <f t="shared" si="38"/>
        <v>1900</v>
      </c>
      <c r="Z138" s="245"/>
    </row>
    <row r="139" spans="1:26" ht="14.25" thickTop="1" thickBot="1" x14ac:dyDescent="0.25">
      <c r="A139" s="722"/>
      <c r="B139" s="48" t="s">
        <v>531</v>
      </c>
      <c r="C139" s="239" t="s">
        <v>305</v>
      </c>
      <c r="D139" s="40" t="s">
        <v>534</v>
      </c>
      <c r="E139" s="231"/>
      <c r="F139" s="231"/>
      <c r="G139" s="231"/>
      <c r="H139" s="232"/>
      <c r="I139" s="231"/>
      <c r="J139" s="231"/>
      <c r="K139" s="233">
        <f>N139*1.5</f>
        <v>0</v>
      </c>
      <c r="L139" s="233">
        <f>N139*1.1</f>
        <v>0</v>
      </c>
      <c r="M139" s="233">
        <f>N139*1.05</f>
        <v>0</v>
      </c>
      <c r="N139" s="234"/>
      <c r="O139" s="83"/>
      <c r="P139" s="235">
        <f>N139-O139</f>
        <v>0</v>
      </c>
      <c r="Q139" s="143"/>
      <c r="R139" s="236">
        <f t="shared" si="37"/>
        <v>5040</v>
      </c>
      <c r="S139" s="236">
        <f t="shared" si="39"/>
        <v>3696.0000000000005</v>
      </c>
      <c r="T139" s="236">
        <f t="shared" si="40"/>
        <v>3528</v>
      </c>
      <c r="U139" s="238">
        <f>1300+2060</f>
        <v>3360</v>
      </c>
      <c r="V139" s="119">
        <f>O139*1.1</f>
        <v>0</v>
      </c>
      <c r="W139" s="241">
        <f>U139-V139</f>
        <v>3360</v>
      </c>
      <c r="X139" s="242"/>
      <c r="Y139" s="244">
        <f t="shared" si="38"/>
        <v>2323</v>
      </c>
      <c r="Z139" s="245">
        <v>1037</v>
      </c>
    </row>
    <row r="140" spans="1:26" ht="14.25" hidden="1" thickTop="1" thickBot="1" x14ac:dyDescent="0.25">
      <c r="A140" s="722"/>
      <c r="B140" s="48" t="s">
        <v>526</v>
      </c>
      <c r="C140" s="239" t="s">
        <v>529</v>
      </c>
      <c r="D140" s="40"/>
      <c r="E140" s="231"/>
      <c r="F140" s="231"/>
      <c r="G140" s="231"/>
      <c r="H140" s="232"/>
      <c r="I140" s="231"/>
      <c r="J140" s="231"/>
      <c r="K140" s="233">
        <f>N140*1.5</f>
        <v>0</v>
      </c>
      <c r="L140" s="233">
        <f>N140*1.1</f>
        <v>0</v>
      </c>
      <c r="M140" s="233">
        <f>N140*1.05</f>
        <v>0</v>
      </c>
      <c r="N140" s="234"/>
      <c r="O140" s="83"/>
      <c r="P140" s="235">
        <f>N140-O140</f>
        <v>0</v>
      </c>
      <c r="Q140" s="143"/>
      <c r="R140" s="236">
        <f t="shared" si="37"/>
        <v>3975</v>
      </c>
      <c r="S140" s="236">
        <f t="shared" si="39"/>
        <v>2915.0000000000005</v>
      </c>
      <c r="T140" s="236">
        <f t="shared" si="40"/>
        <v>2782.5</v>
      </c>
      <c r="U140" s="240">
        <v>2650</v>
      </c>
      <c r="V140" s="119">
        <f>O140*1.1</f>
        <v>0</v>
      </c>
      <c r="W140" s="241">
        <f>U140-V140</f>
        <v>2650</v>
      </c>
      <c r="X140" s="242"/>
      <c r="Y140" s="244">
        <f t="shared" si="38"/>
        <v>2650</v>
      </c>
      <c r="Z140" s="245"/>
    </row>
    <row r="141" spans="1:26" ht="14.25" thickTop="1" thickBot="1" x14ac:dyDescent="0.25">
      <c r="A141" s="723"/>
      <c r="B141" s="48" t="s">
        <v>530</v>
      </c>
      <c r="C141" s="239" t="s">
        <v>91</v>
      </c>
      <c r="D141" s="32" t="s">
        <v>287</v>
      </c>
      <c r="E141" s="231"/>
      <c r="F141" s="231"/>
      <c r="G141" s="231"/>
      <c r="H141" s="232"/>
      <c r="I141" s="231"/>
      <c r="J141" s="231"/>
      <c r="K141" s="233">
        <f>N141*1.5</f>
        <v>0</v>
      </c>
      <c r="L141" s="233">
        <f>N141*1.1</f>
        <v>0</v>
      </c>
      <c r="M141" s="233">
        <f>N141*1.05</f>
        <v>0</v>
      </c>
      <c r="N141" s="234"/>
      <c r="O141" s="83"/>
      <c r="P141" s="235">
        <f>N141-O141</f>
        <v>0</v>
      </c>
      <c r="Q141" s="143"/>
      <c r="R141" s="236">
        <f t="shared" si="37"/>
        <v>9427.5</v>
      </c>
      <c r="S141" s="236">
        <f t="shared" si="39"/>
        <v>6913.5000000000009</v>
      </c>
      <c r="T141" s="236">
        <f t="shared" si="40"/>
        <v>6599.25</v>
      </c>
      <c r="U141" s="238">
        <f>2785+3500</f>
        <v>6285</v>
      </c>
      <c r="V141" s="119">
        <f>O141*1.1</f>
        <v>0</v>
      </c>
      <c r="W141" s="241">
        <f>U141-V141</f>
        <v>6285</v>
      </c>
      <c r="X141" s="242"/>
      <c r="Y141" s="244">
        <f t="shared" si="38"/>
        <v>4005</v>
      </c>
      <c r="Z141" s="245">
        <v>2280</v>
      </c>
    </row>
    <row r="142" spans="1:26" ht="14.25" hidden="1" thickTop="1" thickBot="1" x14ac:dyDescent="0.25">
      <c r="A142" s="717" t="s">
        <v>144</v>
      </c>
      <c r="B142" s="160" t="s">
        <v>310</v>
      </c>
      <c r="C142" s="181" t="s">
        <v>1</v>
      </c>
      <c r="D142" s="210"/>
      <c r="E142" s="162">
        <v>5.8</v>
      </c>
      <c r="F142" s="163">
        <v>7.0000000000000007E-2</v>
      </c>
      <c r="G142" s="163">
        <v>10</v>
      </c>
      <c r="H142" s="164">
        <v>0</v>
      </c>
      <c r="I142" s="165">
        <f t="shared" si="42"/>
        <v>0</v>
      </c>
      <c r="J142" s="166">
        <f t="shared" si="43"/>
        <v>0</v>
      </c>
      <c r="K142" s="167">
        <f t="shared" si="33"/>
        <v>2700</v>
      </c>
      <c r="L142" s="167">
        <f t="shared" si="34"/>
        <v>1980.0000000000002</v>
      </c>
      <c r="M142" s="167">
        <f t="shared" si="35"/>
        <v>1890</v>
      </c>
      <c r="N142" s="168">
        <v>1800</v>
      </c>
      <c r="O142" s="169"/>
      <c r="P142" s="170">
        <f t="shared" si="36"/>
        <v>1800</v>
      </c>
      <c r="Q142" s="143"/>
      <c r="R142" s="222">
        <f t="shared" si="37"/>
        <v>3000</v>
      </c>
      <c r="S142" s="222">
        <f t="shared" si="39"/>
        <v>2200</v>
      </c>
      <c r="T142" s="222">
        <f t="shared" si="40"/>
        <v>2100</v>
      </c>
      <c r="U142" s="129">
        <v>2000</v>
      </c>
      <c r="V142" s="108"/>
      <c r="W142" s="79"/>
      <c r="X142" s="86"/>
      <c r="Y142" s="244">
        <f t="shared" si="38"/>
        <v>2000</v>
      </c>
      <c r="Z142" s="245"/>
    </row>
    <row r="143" spans="1:26" ht="13.5" hidden="1" thickTop="1" x14ac:dyDescent="0.2">
      <c r="A143" s="710"/>
      <c r="B143" s="14" t="s">
        <v>309</v>
      </c>
      <c r="C143" s="7" t="s">
        <v>1</v>
      </c>
      <c r="D143" s="45"/>
      <c r="E143" s="5">
        <v>5.8</v>
      </c>
      <c r="F143" s="3">
        <v>7.0000000000000007E-2</v>
      </c>
      <c r="G143" s="3">
        <v>10</v>
      </c>
      <c r="H143" s="13">
        <v>0</v>
      </c>
      <c r="I143" s="29">
        <f t="shared" si="42"/>
        <v>0</v>
      </c>
      <c r="J143" s="30">
        <f t="shared" si="43"/>
        <v>0</v>
      </c>
      <c r="K143" s="93">
        <f t="shared" si="33"/>
        <v>3105</v>
      </c>
      <c r="L143" s="93">
        <f t="shared" si="34"/>
        <v>2277</v>
      </c>
      <c r="M143" s="93">
        <f t="shared" si="35"/>
        <v>2173.5</v>
      </c>
      <c r="N143" s="64">
        <v>2070</v>
      </c>
      <c r="O143" s="69"/>
      <c r="P143" s="132">
        <f t="shared" si="36"/>
        <v>2070</v>
      </c>
      <c r="Q143" s="133"/>
      <c r="R143" s="218">
        <f t="shared" si="37"/>
        <v>3570</v>
      </c>
      <c r="S143" s="218">
        <f t="shared" si="39"/>
        <v>2618</v>
      </c>
      <c r="T143" s="218">
        <f t="shared" si="40"/>
        <v>2499</v>
      </c>
      <c r="U143" s="111">
        <v>2380</v>
      </c>
      <c r="V143" s="108"/>
      <c r="W143" s="79"/>
      <c r="X143" s="86"/>
      <c r="Y143" s="244">
        <f t="shared" si="38"/>
        <v>2380</v>
      </c>
      <c r="Z143" s="245"/>
    </row>
    <row r="144" spans="1:26" ht="13.5" hidden="1" thickTop="1" x14ac:dyDescent="0.2">
      <c r="A144" s="710"/>
      <c r="B144" s="14" t="s">
        <v>193</v>
      </c>
      <c r="C144" s="7" t="s">
        <v>2</v>
      </c>
      <c r="D144" s="45"/>
      <c r="E144" s="5">
        <v>6.4</v>
      </c>
      <c r="F144" s="3">
        <v>7.0000000000000007E-2</v>
      </c>
      <c r="G144" s="3">
        <v>10</v>
      </c>
      <c r="H144" s="13">
        <v>0</v>
      </c>
      <c r="I144" s="29">
        <f t="shared" si="42"/>
        <v>0</v>
      </c>
      <c r="J144" s="30">
        <f t="shared" si="43"/>
        <v>0</v>
      </c>
      <c r="K144" s="93">
        <f t="shared" si="33"/>
        <v>3225</v>
      </c>
      <c r="L144" s="93">
        <f t="shared" si="34"/>
        <v>2365</v>
      </c>
      <c r="M144" s="93">
        <f t="shared" si="35"/>
        <v>2257.5</v>
      </c>
      <c r="N144" s="64">
        <v>2150</v>
      </c>
      <c r="O144" s="69"/>
      <c r="P144" s="132">
        <f t="shared" si="36"/>
        <v>2150</v>
      </c>
      <c r="Q144" s="133"/>
      <c r="R144" s="218">
        <f t="shared" si="37"/>
        <v>3547.5</v>
      </c>
      <c r="S144" s="218">
        <f t="shared" si="39"/>
        <v>2601.5</v>
      </c>
      <c r="T144" s="218">
        <f t="shared" si="40"/>
        <v>2483.25</v>
      </c>
      <c r="U144" s="111">
        <f>N144*1.1</f>
        <v>2365</v>
      </c>
      <c r="V144" s="108"/>
      <c r="W144" s="79"/>
      <c r="X144" s="86"/>
      <c r="Y144" s="244">
        <f t="shared" si="38"/>
        <v>2365</v>
      </c>
      <c r="Z144" s="245"/>
    </row>
    <row r="145" spans="1:26" ht="13.5" hidden="1" thickTop="1" x14ac:dyDescent="0.2">
      <c r="A145" s="710"/>
      <c r="B145" s="14" t="s">
        <v>195</v>
      </c>
      <c r="C145" s="7" t="s">
        <v>2</v>
      </c>
      <c r="D145" s="45"/>
      <c r="E145" s="5">
        <v>6.4</v>
      </c>
      <c r="F145" s="3">
        <v>7.0000000000000007E-2</v>
      </c>
      <c r="G145" s="3">
        <v>10</v>
      </c>
      <c r="H145" s="13">
        <v>0</v>
      </c>
      <c r="I145" s="29">
        <f t="shared" si="42"/>
        <v>0</v>
      </c>
      <c r="J145" s="30">
        <f t="shared" si="43"/>
        <v>0</v>
      </c>
      <c r="K145" s="93">
        <f t="shared" si="33"/>
        <v>3712.5</v>
      </c>
      <c r="L145" s="93">
        <f t="shared" si="34"/>
        <v>2722.5</v>
      </c>
      <c r="M145" s="93">
        <f t="shared" si="35"/>
        <v>2598.75</v>
      </c>
      <c r="N145" s="64">
        <v>2475</v>
      </c>
      <c r="O145" s="69"/>
      <c r="P145" s="132">
        <f t="shared" si="36"/>
        <v>2475</v>
      </c>
      <c r="Q145" s="133"/>
      <c r="R145" s="218">
        <f t="shared" si="37"/>
        <v>4275</v>
      </c>
      <c r="S145" s="218">
        <f t="shared" si="39"/>
        <v>3135.0000000000005</v>
      </c>
      <c r="T145" s="218">
        <f t="shared" si="40"/>
        <v>2992.5</v>
      </c>
      <c r="U145" s="111">
        <v>2850</v>
      </c>
      <c r="V145" s="108"/>
      <c r="W145" s="79"/>
      <c r="X145" s="86"/>
      <c r="Y145" s="244">
        <f t="shared" si="38"/>
        <v>2850</v>
      </c>
      <c r="Z145" s="245"/>
    </row>
    <row r="146" spans="1:26" ht="13.5" hidden="1" thickTop="1" x14ac:dyDescent="0.2">
      <c r="A146" s="710"/>
      <c r="B146" s="14" t="s">
        <v>194</v>
      </c>
      <c r="C146" s="7" t="s">
        <v>3</v>
      </c>
      <c r="D146" s="45"/>
      <c r="E146" s="5">
        <v>11.5</v>
      </c>
      <c r="F146" s="3">
        <v>0.09</v>
      </c>
      <c r="G146" s="3">
        <v>10</v>
      </c>
      <c r="H146" s="13">
        <v>0</v>
      </c>
      <c r="I146" s="29">
        <f t="shared" si="42"/>
        <v>0</v>
      </c>
      <c r="J146" s="30">
        <f t="shared" si="43"/>
        <v>0</v>
      </c>
      <c r="K146" s="93">
        <f t="shared" si="33"/>
        <v>3975</v>
      </c>
      <c r="L146" s="93">
        <f t="shared" si="34"/>
        <v>2915.0000000000005</v>
      </c>
      <c r="M146" s="93">
        <f t="shared" si="35"/>
        <v>2782.5</v>
      </c>
      <c r="N146" s="64">
        <v>2650</v>
      </c>
      <c r="O146" s="69"/>
      <c r="P146" s="132">
        <f t="shared" si="36"/>
        <v>2650</v>
      </c>
      <c r="Q146" s="133"/>
      <c r="R146" s="218">
        <f t="shared" si="37"/>
        <v>4372.5000000000009</v>
      </c>
      <c r="S146" s="218">
        <f t="shared" si="39"/>
        <v>3206.5000000000009</v>
      </c>
      <c r="T146" s="218">
        <f t="shared" si="40"/>
        <v>3060.7500000000005</v>
      </c>
      <c r="U146" s="111">
        <f>N146*1.1</f>
        <v>2915.0000000000005</v>
      </c>
      <c r="V146" s="108"/>
      <c r="W146" s="79"/>
      <c r="X146" s="86"/>
      <c r="Y146" s="244">
        <f t="shared" si="38"/>
        <v>2915.0000000000005</v>
      </c>
      <c r="Z146" s="245"/>
    </row>
    <row r="147" spans="1:26" ht="13.5" hidden="1" thickTop="1" x14ac:dyDescent="0.2">
      <c r="A147" s="710"/>
      <c r="B147" s="14" t="s">
        <v>196</v>
      </c>
      <c r="C147" s="7" t="s">
        <v>3</v>
      </c>
      <c r="D147" s="45"/>
      <c r="E147" s="5">
        <v>11.5</v>
      </c>
      <c r="F147" s="3">
        <v>0.09</v>
      </c>
      <c r="G147" s="3">
        <v>10</v>
      </c>
      <c r="H147" s="13">
        <v>0</v>
      </c>
      <c r="I147" s="29">
        <f t="shared" si="42"/>
        <v>0</v>
      </c>
      <c r="J147" s="30">
        <f t="shared" si="43"/>
        <v>0</v>
      </c>
      <c r="K147" s="93">
        <f t="shared" si="33"/>
        <v>4575</v>
      </c>
      <c r="L147" s="93">
        <f t="shared" si="34"/>
        <v>3355.0000000000005</v>
      </c>
      <c r="M147" s="93">
        <f t="shared" si="35"/>
        <v>3202.5</v>
      </c>
      <c r="N147" s="64">
        <v>3050</v>
      </c>
      <c r="O147" s="69"/>
      <c r="P147" s="132">
        <f t="shared" si="36"/>
        <v>3050</v>
      </c>
      <c r="Q147" s="133"/>
      <c r="R147" s="218">
        <f t="shared" si="37"/>
        <v>5265</v>
      </c>
      <c r="S147" s="218">
        <f t="shared" si="39"/>
        <v>3861.0000000000005</v>
      </c>
      <c r="T147" s="218">
        <f t="shared" si="40"/>
        <v>3685.5</v>
      </c>
      <c r="U147" s="111">
        <v>3510</v>
      </c>
      <c r="V147" s="108"/>
      <c r="W147" s="79"/>
      <c r="X147" s="86"/>
      <c r="Y147" s="244">
        <f t="shared" si="38"/>
        <v>3510</v>
      </c>
      <c r="Z147" s="245"/>
    </row>
    <row r="148" spans="1:26" ht="13.5" hidden="1" thickTop="1" x14ac:dyDescent="0.2">
      <c r="A148" s="710"/>
      <c r="B148" s="14" t="s">
        <v>191</v>
      </c>
      <c r="C148" s="7" t="s">
        <v>4</v>
      </c>
      <c r="D148" s="45"/>
      <c r="E148" s="5">
        <v>11.6</v>
      </c>
      <c r="F148" s="3">
        <v>0.14000000000000001</v>
      </c>
      <c r="G148" s="3">
        <v>10</v>
      </c>
      <c r="H148" s="13">
        <v>0</v>
      </c>
      <c r="I148" s="29">
        <f t="shared" si="42"/>
        <v>0</v>
      </c>
      <c r="J148" s="30">
        <f t="shared" si="43"/>
        <v>0</v>
      </c>
      <c r="K148" s="93">
        <f t="shared" si="33"/>
        <v>5850</v>
      </c>
      <c r="L148" s="93">
        <f t="shared" si="34"/>
        <v>4290</v>
      </c>
      <c r="M148" s="93">
        <f t="shared" si="35"/>
        <v>4095</v>
      </c>
      <c r="N148" s="64">
        <v>3900</v>
      </c>
      <c r="O148" s="69"/>
      <c r="P148" s="132">
        <f t="shared" si="36"/>
        <v>3900</v>
      </c>
      <c r="Q148" s="133"/>
      <c r="R148" s="218">
        <f t="shared" si="37"/>
        <v>6435</v>
      </c>
      <c r="S148" s="218">
        <f t="shared" si="39"/>
        <v>4719</v>
      </c>
      <c r="T148" s="218">
        <f t="shared" si="40"/>
        <v>4504.5</v>
      </c>
      <c r="U148" s="111">
        <f>N148*1.1</f>
        <v>4290</v>
      </c>
      <c r="V148" s="108"/>
      <c r="W148" s="79"/>
      <c r="X148" s="86"/>
      <c r="Y148" s="244">
        <f t="shared" si="38"/>
        <v>4290</v>
      </c>
      <c r="Z148" s="245"/>
    </row>
    <row r="149" spans="1:26" ht="13.5" hidden="1" thickTop="1" x14ac:dyDescent="0.2">
      <c r="A149" s="710"/>
      <c r="B149" s="14" t="s">
        <v>197</v>
      </c>
      <c r="C149" s="7" t="s">
        <v>4</v>
      </c>
      <c r="D149" s="45"/>
      <c r="E149" s="5">
        <v>11.6</v>
      </c>
      <c r="F149" s="3">
        <v>0.14000000000000001</v>
      </c>
      <c r="G149" s="3">
        <v>10</v>
      </c>
      <c r="H149" s="13">
        <v>0</v>
      </c>
      <c r="I149" s="29">
        <f t="shared" si="42"/>
        <v>0</v>
      </c>
      <c r="J149" s="30">
        <f t="shared" si="43"/>
        <v>0</v>
      </c>
      <c r="K149" s="93">
        <f t="shared" si="33"/>
        <v>6727.5</v>
      </c>
      <c r="L149" s="93">
        <f t="shared" si="34"/>
        <v>4933.5</v>
      </c>
      <c r="M149" s="93">
        <f t="shared" si="35"/>
        <v>4709.25</v>
      </c>
      <c r="N149" s="64">
        <v>4485</v>
      </c>
      <c r="O149" s="69"/>
      <c r="P149" s="132">
        <f t="shared" si="36"/>
        <v>4485</v>
      </c>
      <c r="Q149" s="133"/>
      <c r="R149" s="218">
        <f t="shared" si="37"/>
        <v>7740</v>
      </c>
      <c r="S149" s="218">
        <f t="shared" si="39"/>
        <v>5676.0000000000009</v>
      </c>
      <c r="T149" s="218">
        <f t="shared" si="40"/>
        <v>5418</v>
      </c>
      <c r="U149" s="111">
        <v>5160</v>
      </c>
      <c r="V149" s="108"/>
      <c r="W149" s="79"/>
      <c r="X149" s="86"/>
      <c r="Y149" s="244">
        <f t="shared" si="38"/>
        <v>5160</v>
      </c>
      <c r="Z149" s="245"/>
    </row>
    <row r="150" spans="1:26" ht="13.5" hidden="1" thickTop="1" x14ac:dyDescent="0.2">
      <c r="A150" s="710"/>
      <c r="B150" s="14" t="s">
        <v>192</v>
      </c>
      <c r="C150" s="7" t="s">
        <v>5</v>
      </c>
      <c r="D150" s="45"/>
      <c r="E150" s="5">
        <v>14.3</v>
      </c>
      <c r="F150" s="3">
        <v>0.17</v>
      </c>
      <c r="G150" s="3">
        <v>10</v>
      </c>
      <c r="H150" s="13">
        <v>0</v>
      </c>
      <c r="I150" s="29">
        <f t="shared" si="42"/>
        <v>0</v>
      </c>
      <c r="J150" s="30">
        <f t="shared" si="43"/>
        <v>0</v>
      </c>
      <c r="K150" s="93">
        <f t="shared" si="33"/>
        <v>6450</v>
      </c>
      <c r="L150" s="93">
        <f t="shared" si="34"/>
        <v>4730</v>
      </c>
      <c r="M150" s="93">
        <f t="shared" si="35"/>
        <v>4515</v>
      </c>
      <c r="N150" s="64">
        <v>4300</v>
      </c>
      <c r="O150" s="69"/>
      <c r="P150" s="132">
        <f t="shared" si="36"/>
        <v>4300</v>
      </c>
      <c r="Q150" s="133"/>
      <c r="R150" s="218">
        <f t="shared" si="37"/>
        <v>7095</v>
      </c>
      <c r="S150" s="218">
        <f t="shared" si="39"/>
        <v>5203</v>
      </c>
      <c r="T150" s="218">
        <f t="shared" si="40"/>
        <v>4966.5</v>
      </c>
      <c r="U150" s="111">
        <f>N150*1.1</f>
        <v>4730</v>
      </c>
      <c r="V150" s="108"/>
      <c r="W150" s="79"/>
      <c r="X150" s="86"/>
      <c r="Y150" s="244">
        <f t="shared" si="38"/>
        <v>4730</v>
      </c>
      <c r="Z150" s="245"/>
    </row>
    <row r="151" spans="1:26" ht="13.5" hidden="1" thickTop="1" x14ac:dyDescent="0.2">
      <c r="A151" s="710"/>
      <c r="B151" s="14" t="s">
        <v>198</v>
      </c>
      <c r="C151" s="7" t="s">
        <v>5</v>
      </c>
      <c r="D151" s="45"/>
      <c r="E151" s="5">
        <v>14.3</v>
      </c>
      <c r="F151" s="3">
        <v>0.17</v>
      </c>
      <c r="G151" s="3">
        <v>10</v>
      </c>
      <c r="H151" s="13">
        <v>0</v>
      </c>
      <c r="I151" s="29">
        <f t="shared" si="42"/>
        <v>0</v>
      </c>
      <c r="J151" s="30">
        <f t="shared" si="43"/>
        <v>0</v>
      </c>
      <c r="K151" s="93">
        <f t="shared" si="33"/>
        <v>7425</v>
      </c>
      <c r="L151" s="93">
        <f t="shared" si="34"/>
        <v>5445</v>
      </c>
      <c r="M151" s="93">
        <f t="shared" si="35"/>
        <v>5197.5</v>
      </c>
      <c r="N151" s="64">
        <v>4950</v>
      </c>
      <c r="O151" s="69"/>
      <c r="P151" s="132">
        <f t="shared" si="36"/>
        <v>4950</v>
      </c>
      <c r="Q151" s="133"/>
      <c r="R151" s="218">
        <f t="shared" si="37"/>
        <v>8550</v>
      </c>
      <c r="S151" s="218">
        <f t="shared" si="39"/>
        <v>6270.0000000000009</v>
      </c>
      <c r="T151" s="218">
        <f t="shared" si="40"/>
        <v>5985</v>
      </c>
      <c r="U151" s="111">
        <v>5700</v>
      </c>
      <c r="V151" s="108"/>
      <c r="W151" s="79"/>
      <c r="X151" s="86"/>
      <c r="Y151" s="244">
        <f t="shared" si="38"/>
        <v>5700</v>
      </c>
      <c r="Z151" s="245"/>
    </row>
    <row r="152" spans="1:26" ht="13.5" hidden="1" thickTop="1" x14ac:dyDescent="0.2">
      <c r="A152" s="710"/>
      <c r="B152" s="14" t="s">
        <v>366</v>
      </c>
      <c r="C152" s="7" t="s">
        <v>75</v>
      </c>
      <c r="D152" s="45"/>
      <c r="E152" s="5">
        <v>34.299999999999997</v>
      </c>
      <c r="F152" s="3">
        <v>0.23</v>
      </c>
      <c r="G152" s="3">
        <v>6</v>
      </c>
      <c r="H152" s="13">
        <v>0</v>
      </c>
      <c r="I152" s="29">
        <f t="shared" si="42"/>
        <v>0</v>
      </c>
      <c r="J152" s="30">
        <f t="shared" si="43"/>
        <v>0</v>
      </c>
      <c r="K152" s="93">
        <f t="shared" si="33"/>
        <v>9750</v>
      </c>
      <c r="L152" s="93">
        <f t="shared" si="34"/>
        <v>7150.0000000000009</v>
      </c>
      <c r="M152" s="93">
        <f t="shared" si="35"/>
        <v>6825</v>
      </c>
      <c r="N152" s="64">
        <v>6500</v>
      </c>
      <c r="O152" s="69"/>
      <c r="P152" s="132">
        <f t="shared" si="36"/>
        <v>6500</v>
      </c>
      <c r="Q152" s="133"/>
      <c r="R152" s="218">
        <f t="shared" si="37"/>
        <v>10725.000000000002</v>
      </c>
      <c r="S152" s="218">
        <f t="shared" si="39"/>
        <v>7865.0000000000018</v>
      </c>
      <c r="T152" s="218">
        <f t="shared" si="40"/>
        <v>7507.5000000000009</v>
      </c>
      <c r="U152" s="111">
        <f>N152*1.1</f>
        <v>7150.0000000000009</v>
      </c>
      <c r="V152" s="108"/>
      <c r="W152" s="79"/>
      <c r="X152" s="86"/>
      <c r="Y152" s="244">
        <f t="shared" si="38"/>
        <v>7150.0000000000009</v>
      </c>
      <c r="Z152" s="245"/>
    </row>
    <row r="153" spans="1:26" ht="13.5" hidden="1" thickTop="1" x14ac:dyDescent="0.2">
      <c r="A153" s="710"/>
      <c r="B153" s="14" t="s">
        <v>367</v>
      </c>
      <c r="C153" s="7" t="s">
        <v>75</v>
      </c>
      <c r="D153" s="45"/>
      <c r="E153" s="5">
        <v>34.299999999999997</v>
      </c>
      <c r="F153" s="3">
        <v>0.23</v>
      </c>
      <c r="G153" s="3">
        <v>6</v>
      </c>
      <c r="H153" s="13">
        <v>0</v>
      </c>
      <c r="I153" s="29">
        <f t="shared" si="42"/>
        <v>0</v>
      </c>
      <c r="J153" s="30">
        <f t="shared" si="43"/>
        <v>0</v>
      </c>
      <c r="K153" s="93">
        <f t="shared" si="33"/>
        <v>11212.5</v>
      </c>
      <c r="L153" s="93">
        <f t="shared" si="34"/>
        <v>8222.5</v>
      </c>
      <c r="M153" s="93">
        <f t="shared" si="35"/>
        <v>7848.75</v>
      </c>
      <c r="N153" s="64">
        <v>7475</v>
      </c>
      <c r="O153" s="69"/>
      <c r="P153" s="132">
        <f t="shared" si="36"/>
        <v>7475</v>
      </c>
      <c r="Q153" s="133"/>
      <c r="R153" s="218">
        <f t="shared" si="37"/>
        <v>12900</v>
      </c>
      <c r="S153" s="218">
        <f t="shared" si="39"/>
        <v>9460</v>
      </c>
      <c r="T153" s="218">
        <f t="shared" si="40"/>
        <v>9030</v>
      </c>
      <c r="U153" s="111">
        <v>8600</v>
      </c>
      <c r="V153" s="108"/>
      <c r="W153" s="79"/>
      <c r="X153" s="86"/>
      <c r="Y153" s="244">
        <f t="shared" si="38"/>
        <v>8600</v>
      </c>
      <c r="Z153" s="245"/>
    </row>
    <row r="154" spans="1:26" ht="15.75" customHeight="1" thickTop="1" x14ac:dyDescent="0.2">
      <c r="A154" s="710"/>
      <c r="B154" s="14" t="s">
        <v>266</v>
      </c>
      <c r="C154" s="7" t="s">
        <v>89</v>
      </c>
      <c r="D154" s="32" t="s">
        <v>285</v>
      </c>
      <c r="E154" s="5">
        <v>15</v>
      </c>
      <c r="F154" s="3">
        <v>0.13</v>
      </c>
      <c r="G154" s="3"/>
      <c r="H154" s="13">
        <v>0</v>
      </c>
      <c r="I154" s="29">
        <f t="shared" si="42"/>
        <v>0</v>
      </c>
      <c r="J154" s="30">
        <f t="shared" si="43"/>
        <v>0</v>
      </c>
      <c r="K154" s="93">
        <f t="shared" si="33"/>
        <v>7200</v>
      </c>
      <c r="L154" s="93">
        <f t="shared" si="34"/>
        <v>5280</v>
      </c>
      <c r="M154" s="93">
        <f t="shared" si="35"/>
        <v>5040</v>
      </c>
      <c r="N154" s="64">
        <v>4800</v>
      </c>
      <c r="O154" s="69">
        <v>3691.4</v>
      </c>
      <c r="P154" s="132">
        <f t="shared" si="36"/>
        <v>1108.5999999999999</v>
      </c>
      <c r="Q154" s="133"/>
      <c r="R154" s="218">
        <f t="shared" si="37"/>
        <v>7920</v>
      </c>
      <c r="S154" s="218">
        <f t="shared" si="39"/>
        <v>5808.0000000000009</v>
      </c>
      <c r="T154" s="218">
        <f t="shared" si="40"/>
        <v>5544</v>
      </c>
      <c r="U154" s="111">
        <f>N154*1.1</f>
        <v>5280</v>
      </c>
      <c r="V154" s="108">
        <f t="shared" ref="V154:V163" si="44">O154*1.1</f>
        <v>4060.5400000000004</v>
      </c>
      <c r="W154" s="79">
        <f t="shared" si="41"/>
        <v>1219.4599999999996</v>
      </c>
      <c r="X154" s="86">
        <v>780</v>
      </c>
      <c r="Y154" s="244">
        <f t="shared" si="38"/>
        <v>4130</v>
      </c>
      <c r="Z154" s="245">
        <v>1150</v>
      </c>
    </row>
    <row r="155" spans="1:26" ht="16.5" customHeight="1" x14ac:dyDescent="0.2">
      <c r="A155" s="710"/>
      <c r="B155" s="14" t="s">
        <v>271</v>
      </c>
      <c r="C155" s="7" t="s">
        <v>89</v>
      </c>
      <c r="D155" s="32" t="s">
        <v>285</v>
      </c>
      <c r="E155" s="5">
        <v>15</v>
      </c>
      <c r="F155" s="3">
        <v>0.13</v>
      </c>
      <c r="G155" s="3"/>
      <c r="H155" s="13">
        <v>0</v>
      </c>
      <c r="I155" s="29">
        <f t="shared" si="42"/>
        <v>0</v>
      </c>
      <c r="J155" s="30">
        <f t="shared" si="43"/>
        <v>0</v>
      </c>
      <c r="K155" s="93">
        <f t="shared" si="33"/>
        <v>8280</v>
      </c>
      <c r="L155" s="93">
        <f t="shared" si="34"/>
        <v>6072.0000000000009</v>
      </c>
      <c r="M155" s="93">
        <f t="shared" si="35"/>
        <v>5796</v>
      </c>
      <c r="N155" s="64">
        <v>5520</v>
      </c>
      <c r="O155" s="69">
        <v>4411.3999999999996</v>
      </c>
      <c r="P155" s="132">
        <f t="shared" si="36"/>
        <v>1108.6000000000004</v>
      </c>
      <c r="Q155" s="133"/>
      <c r="R155" s="218">
        <f t="shared" si="37"/>
        <v>9522</v>
      </c>
      <c r="S155" s="218">
        <f t="shared" si="39"/>
        <v>6982.8</v>
      </c>
      <c r="T155" s="218">
        <f t="shared" si="40"/>
        <v>6665.4000000000005</v>
      </c>
      <c r="U155" s="111">
        <v>6348</v>
      </c>
      <c r="V155" s="108">
        <f t="shared" si="44"/>
        <v>4852.54</v>
      </c>
      <c r="W155" s="79">
        <f t="shared" si="41"/>
        <v>1495.46</v>
      </c>
      <c r="X155" s="86">
        <v>780</v>
      </c>
      <c r="Y155" s="244">
        <f t="shared" si="38"/>
        <v>5198</v>
      </c>
      <c r="Z155" s="245">
        <v>1150</v>
      </c>
    </row>
    <row r="156" spans="1:26" ht="13.5" customHeight="1" x14ac:dyDescent="0.2">
      <c r="A156" s="710"/>
      <c r="B156" s="14" t="s">
        <v>267</v>
      </c>
      <c r="C156" s="7" t="s">
        <v>90</v>
      </c>
      <c r="D156" s="32" t="s">
        <v>286</v>
      </c>
      <c r="E156" s="5">
        <v>17.3</v>
      </c>
      <c r="F156" s="3">
        <v>0.17</v>
      </c>
      <c r="G156" s="3"/>
      <c r="H156" s="13">
        <v>0</v>
      </c>
      <c r="I156" s="29">
        <f t="shared" si="42"/>
        <v>0</v>
      </c>
      <c r="J156" s="30">
        <f t="shared" si="43"/>
        <v>0</v>
      </c>
      <c r="K156" s="93">
        <f t="shared" si="33"/>
        <v>7650</v>
      </c>
      <c r="L156" s="93">
        <f t="shared" si="34"/>
        <v>5610</v>
      </c>
      <c r="M156" s="93">
        <f t="shared" si="35"/>
        <v>5355</v>
      </c>
      <c r="N156" s="64">
        <v>5100</v>
      </c>
      <c r="O156" s="69">
        <v>3946.55</v>
      </c>
      <c r="P156" s="132">
        <f t="shared" si="36"/>
        <v>1153.4499999999998</v>
      </c>
      <c r="Q156" s="133"/>
      <c r="R156" s="218">
        <f t="shared" si="37"/>
        <v>8415</v>
      </c>
      <c r="S156" s="218">
        <f t="shared" si="39"/>
        <v>6171.0000000000009</v>
      </c>
      <c r="T156" s="218">
        <f t="shared" si="40"/>
        <v>5890.5</v>
      </c>
      <c r="U156" s="111">
        <f>N156*1.1</f>
        <v>5610</v>
      </c>
      <c r="V156" s="108">
        <f t="shared" si="44"/>
        <v>4341.2050000000008</v>
      </c>
      <c r="W156" s="79">
        <f t="shared" si="41"/>
        <v>1268.7949999999992</v>
      </c>
      <c r="X156" s="86">
        <v>835</v>
      </c>
      <c r="Y156" s="244">
        <f t="shared" si="38"/>
        <v>4379</v>
      </c>
      <c r="Z156" s="245">
        <v>1231</v>
      </c>
    </row>
    <row r="157" spans="1:26" ht="12.75" customHeight="1" x14ac:dyDescent="0.2">
      <c r="A157" s="710"/>
      <c r="B157" s="14" t="s">
        <v>272</v>
      </c>
      <c r="C157" s="7" t="s">
        <v>90</v>
      </c>
      <c r="D157" s="32" t="s">
        <v>286</v>
      </c>
      <c r="E157" s="5">
        <v>17.3</v>
      </c>
      <c r="F157" s="3">
        <v>0.17</v>
      </c>
      <c r="G157" s="3"/>
      <c r="H157" s="13">
        <v>0</v>
      </c>
      <c r="I157" s="29">
        <f t="shared" si="42"/>
        <v>0</v>
      </c>
      <c r="J157" s="30">
        <f t="shared" si="43"/>
        <v>0</v>
      </c>
      <c r="K157" s="93">
        <f t="shared" si="33"/>
        <v>8797.5</v>
      </c>
      <c r="L157" s="93">
        <f t="shared" si="34"/>
        <v>6451.5000000000009</v>
      </c>
      <c r="M157" s="93">
        <f t="shared" si="35"/>
        <v>6158.25</v>
      </c>
      <c r="N157" s="64">
        <v>5865</v>
      </c>
      <c r="O157" s="69">
        <v>4711.55</v>
      </c>
      <c r="P157" s="132">
        <f t="shared" si="36"/>
        <v>1153.4499999999998</v>
      </c>
      <c r="Q157" s="133"/>
      <c r="R157" s="218">
        <f t="shared" si="37"/>
        <v>10117.5</v>
      </c>
      <c r="S157" s="218">
        <f t="shared" si="39"/>
        <v>7419.5000000000009</v>
      </c>
      <c r="T157" s="218">
        <f t="shared" si="40"/>
        <v>7082.25</v>
      </c>
      <c r="U157" s="111">
        <v>6745</v>
      </c>
      <c r="V157" s="108">
        <f t="shared" si="44"/>
        <v>5182.7050000000008</v>
      </c>
      <c r="W157" s="79">
        <f t="shared" si="41"/>
        <v>1562.2949999999992</v>
      </c>
      <c r="X157" s="86">
        <v>835</v>
      </c>
      <c r="Y157" s="244">
        <f t="shared" si="38"/>
        <v>5514</v>
      </c>
      <c r="Z157" s="245">
        <v>1231</v>
      </c>
    </row>
    <row r="158" spans="1:26" ht="14.25" customHeight="1" x14ac:dyDescent="0.2">
      <c r="A158" s="710"/>
      <c r="B158" s="14" t="s">
        <v>268</v>
      </c>
      <c r="C158" s="7" t="s">
        <v>91</v>
      </c>
      <c r="D158" s="32" t="s">
        <v>287</v>
      </c>
      <c r="E158" s="5">
        <v>24.9</v>
      </c>
      <c r="F158" s="3">
        <v>0.21</v>
      </c>
      <c r="G158" s="3"/>
      <c r="H158" s="13">
        <v>0</v>
      </c>
      <c r="I158" s="29">
        <f t="shared" si="42"/>
        <v>0</v>
      </c>
      <c r="J158" s="30">
        <f t="shared" si="43"/>
        <v>0</v>
      </c>
      <c r="K158" s="93">
        <f t="shared" si="33"/>
        <v>10425</v>
      </c>
      <c r="L158" s="93">
        <f t="shared" si="34"/>
        <v>7645.0000000000009</v>
      </c>
      <c r="M158" s="93">
        <f t="shared" si="35"/>
        <v>7297.5</v>
      </c>
      <c r="N158" s="64">
        <v>6950</v>
      </c>
      <c r="O158" s="69">
        <v>4751.2</v>
      </c>
      <c r="P158" s="132">
        <f t="shared" si="36"/>
        <v>2198.8000000000002</v>
      </c>
      <c r="Q158" s="133"/>
      <c r="R158" s="218">
        <f t="shared" si="37"/>
        <v>11467.500000000002</v>
      </c>
      <c r="S158" s="218">
        <f t="shared" si="39"/>
        <v>8409.5000000000018</v>
      </c>
      <c r="T158" s="218">
        <f t="shared" si="40"/>
        <v>8027.2500000000009</v>
      </c>
      <c r="U158" s="111">
        <f>N158*1.1</f>
        <v>7645.0000000000009</v>
      </c>
      <c r="V158" s="108">
        <f t="shared" si="44"/>
        <v>5226.3200000000006</v>
      </c>
      <c r="W158" s="79">
        <f t="shared" si="41"/>
        <v>2418.6800000000003</v>
      </c>
      <c r="X158" s="86">
        <v>1545.8</v>
      </c>
      <c r="Y158" s="244">
        <f t="shared" si="38"/>
        <v>5365.0000000000009</v>
      </c>
      <c r="Z158" s="245">
        <v>2280</v>
      </c>
    </row>
    <row r="159" spans="1:26" ht="16.5" customHeight="1" x14ac:dyDescent="0.2">
      <c r="A159" s="710"/>
      <c r="B159" s="14" t="s">
        <v>273</v>
      </c>
      <c r="C159" s="7" t="s">
        <v>91</v>
      </c>
      <c r="D159" s="32" t="s">
        <v>287</v>
      </c>
      <c r="E159" s="5">
        <v>24.9</v>
      </c>
      <c r="F159" s="3">
        <v>0.21</v>
      </c>
      <c r="G159" s="3"/>
      <c r="H159" s="13">
        <v>0</v>
      </c>
      <c r="I159" s="29">
        <f t="shared" si="42"/>
        <v>0</v>
      </c>
      <c r="J159" s="30">
        <f t="shared" si="43"/>
        <v>0</v>
      </c>
      <c r="K159" s="93">
        <f t="shared" si="33"/>
        <v>11992.5</v>
      </c>
      <c r="L159" s="93">
        <f t="shared" si="34"/>
        <v>8794.5</v>
      </c>
      <c r="M159" s="93">
        <f t="shared" si="35"/>
        <v>8394.75</v>
      </c>
      <c r="N159" s="64">
        <v>7995</v>
      </c>
      <c r="O159" s="69">
        <v>5796.2</v>
      </c>
      <c r="P159" s="132">
        <f t="shared" si="36"/>
        <v>2198.8000000000002</v>
      </c>
      <c r="Q159" s="133"/>
      <c r="R159" s="218">
        <f t="shared" si="37"/>
        <v>13800</v>
      </c>
      <c r="S159" s="218">
        <f t="shared" si="39"/>
        <v>10120</v>
      </c>
      <c r="T159" s="218">
        <f t="shared" si="40"/>
        <v>9660</v>
      </c>
      <c r="U159" s="111">
        <v>9200</v>
      </c>
      <c r="V159" s="108">
        <f t="shared" si="44"/>
        <v>6375.8200000000006</v>
      </c>
      <c r="W159" s="79">
        <f t="shared" si="41"/>
        <v>2824.1799999999994</v>
      </c>
      <c r="X159" s="86">
        <v>1545.8</v>
      </c>
      <c r="Y159" s="244">
        <f t="shared" si="38"/>
        <v>6920</v>
      </c>
      <c r="Z159" s="245">
        <v>2280</v>
      </c>
    </row>
    <row r="160" spans="1:26" ht="14.25" customHeight="1" x14ac:dyDescent="0.2">
      <c r="A160" s="710"/>
      <c r="B160" s="14" t="s">
        <v>269</v>
      </c>
      <c r="C160" s="7" t="s">
        <v>87</v>
      </c>
      <c r="D160" s="32" t="s">
        <v>288</v>
      </c>
      <c r="E160" s="5">
        <v>29</v>
      </c>
      <c r="F160" s="3">
        <v>0.28000000000000003</v>
      </c>
      <c r="G160" s="3"/>
      <c r="H160" s="13">
        <v>0</v>
      </c>
      <c r="I160" s="29">
        <f t="shared" si="42"/>
        <v>0</v>
      </c>
      <c r="J160" s="30">
        <f t="shared" si="43"/>
        <v>0</v>
      </c>
      <c r="K160" s="93">
        <f t="shared" si="33"/>
        <v>12900</v>
      </c>
      <c r="L160" s="93">
        <f t="shared" si="34"/>
        <v>9460</v>
      </c>
      <c r="M160" s="93">
        <f t="shared" si="35"/>
        <v>9030</v>
      </c>
      <c r="N160" s="64">
        <v>8600</v>
      </c>
      <c r="O160" s="69">
        <v>6117.15</v>
      </c>
      <c r="P160" s="132">
        <f t="shared" si="36"/>
        <v>2482.8500000000004</v>
      </c>
      <c r="Q160" s="133"/>
      <c r="R160" s="218">
        <f t="shared" si="37"/>
        <v>14190</v>
      </c>
      <c r="S160" s="218">
        <f t="shared" si="39"/>
        <v>10406</v>
      </c>
      <c r="T160" s="218">
        <f t="shared" si="40"/>
        <v>9933</v>
      </c>
      <c r="U160" s="111">
        <f>N160*1.1</f>
        <v>9460</v>
      </c>
      <c r="V160" s="108">
        <f t="shared" si="44"/>
        <v>6728.8649999999998</v>
      </c>
      <c r="W160" s="79">
        <f t="shared" si="41"/>
        <v>2731.1350000000002</v>
      </c>
      <c r="X160" s="86">
        <v>1745</v>
      </c>
      <c r="Y160" s="244">
        <f t="shared" si="38"/>
        <v>6886</v>
      </c>
      <c r="Z160" s="245">
        <v>2574</v>
      </c>
    </row>
    <row r="161" spans="1:26" ht="14.25" customHeight="1" x14ac:dyDescent="0.2">
      <c r="A161" s="710"/>
      <c r="B161" s="14" t="s">
        <v>274</v>
      </c>
      <c r="C161" s="7" t="s">
        <v>87</v>
      </c>
      <c r="D161" s="32" t="s">
        <v>288</v>
      </c>
      <c r="E161" s="5">
        <v>29</v>
      </c>
      <c r="F161" s="3">
        <v>0.28000000000000003</v>
      </c>
      <c r="G161" s="3"/>
      <c r="H161" s="13">
        <v>0</v>
      </c>
      <c r="I161" s="29">
        <f t="shared" si="42"/>
        <v>0</v>
      </c>
      <c r="J161" s="30">
        <f t="shared" si="43"/>
        <v>0</v>
      </c>
      <c r="K161" s="93">
        <f t="shared" si="33"/>
        <v>14835</v>
      </c>
      <c r="L161" s="93">
        <f t="shared" si="34"/>
        <v>10879</v>
      </c>
      <c r="M161" s="93">
        <f t="shared" si="35"/>
        <v>10384.5</v>
      </c>
      <c r="N161" s="64">
        <v>9890</v>
      </c>
      <c r="O161" s="69">
        <v>7407.15</v>
      </c>
      <c r="P161" s="132">
        <f t="shared" si="36"/>
        <v>2482.8500000000004</v>
      </c>
      <c r="Q161" s="133"/>
      <c r="R161" s="218">
        <f t="shared" si="37"/>
        <v>17055</v>
      </c>
      <c r="S161" s="218">
        <f t="shared" si="39"/>
        <v>12507.000000000002</v>
      </c>
      <c r="T161" s="218">
        <f t="shared" si="40"/>
        <v>11938.5</v>
      </c>
      <c r="U161" s="111">
        <v>11370</v>
      </c>
      <c r="V161" s="108">
        <f t="shared" si="44"/>
        <v>8147.8650000000007</v>
      </c>
      <c r="W161" s="79">
        <f t="shared" si="41"/>
        <v>3222.1349999999993</v>
      </c>
      <c r="X161" s="86">
        <v>1745</v>
      </c>
      <c r="Y161" s="244">
        <f t="shared" si="38"/>
        <v>8796</v>
      </c>
      <c r="Z161" s="245">
        <v>2574</v>
      </c>
    </row>
    <row r="162" spans="1:26" ht="15.75" customHeight="1" x14ac:dyDescent="0.2">
      <c r="A162" s="710"/>
      <c r="B162" s="14" t="s">
        <v>270</v>
      </c>
      <c r="C162" s="7" t="s">
        <v>88</v>
      </c>
      <c r="D162" s="32" t="s">
        <v>289</v>
      </c>
      <c r="E162" s="5">
        <v>34.799999999999997</v>
      </c>
      <c r="F162" s="3">
        <v>0.4</v>
      </c>
      <c r="G162" s="3"/>
      <c r="H162" s="13">
        <v>0</v>
      </c>
      <c r="I162" s="29">
        <f t="shared" si="42"/>
        <v>0</v>
      </c>
      <c r="J162" s="30">
        <f t="shared" si="43"/>
        <v>0</v>
      </c>
      <c r="K162" s="93">
        <f t="shared" si="33"/>
        <v>20700</v>
      </c>
      <c r="L162" s="93">
        <f t="shared" si="34"/>
        <v>15180.000000000002</v>
      </c>
      <c r="M162" s="93">
        <f t="shared" si="35"/>
        <v>14490</v>
      </c>
      <c r="N162" s="64">
        <v>13800</v>
      </c>
      <c r="O162" s="69">
        <v>6896.55</v>
      </c>
      <c r="P162" s="132">
        <f t="shared" si="36"/>
        <v>6903.45</v>
      </c>
      <c r="Q162" s="133"/>
      <c r="R162" s="218">
        <f t="shared" si="37"/>
        <v>22770.000000000004</v>
      </c>
      <c r="S162" s="218">
        <f t="shared" si="39"/>
        <v>16698.000000000004</v>
      </c>
      <c r="T162" s="218">
        <f t="shared" si="40"/>
        <v>15939.000000000002</v>
      </c>
      <c r="U162" s="111">
        <f>N162*1.1</f>
        <v>15180.000000000002</v>
      </c>
      <c r="V162" s="108">
        <f t="shared" si="44"/>
        <v>7586.2050000000008</v>
      </c>
      <c r="W162" s="79">
        <f t="shared" si="41"/>
        <v>7593.795000000001</v>
      </c>
      <c r="X162" s="86">
        <v>6027</v>
      </c>
      <c r="Y162" s="244">
        <f t="shared" si="38"/>
        <v>7857.0000000000018</v>
      </c>
      <c r="Z162" s="245">
        <v>7323</v>
      </c>
    </row>
    <row r="163" spans="1:26" ht="15.75" customHeight="1" thickBot="1" x14ac:dyDescent="0.25">
      <c r="A163" s="718"/>
      <c r="B163" s="173" t="s">
        <v>275</v>
      </c>
      <c r="C163" s="174" t="s">
        <v>88</v>
      </c>
      <c r="D163" s="211" t="s">
        <v>289</v>
      </c>
      <c r="E163" s="136">
        <v>34.799999999999997</v>
      </c>
      <c r="F163" s="176">
        <v>0.4</v>
      </c>
      <c r="G163" s="176"/>
      <c r="H163" s="178">
        <v>0</v>
      </c>
      <c r="I163" s="179">
        <f t="shared" si="42"/>
        <v>0</v>
      </c>
      <c r="J163" s="180">
        <f t="shared" si="43"/>
        <v>0</v>
      </c>
      <c r="K163" s="139">
        <f t="shared" si="33"/>
        <v>23805</v>
      </c>
      <c r="L163" s="139">
        <f t="shared" si="34"/>
        <v>17457</v>
      </c>
      <c r="M163" s="139">
        <f t="shared" si="35"/>
        <v>16663.5</v>
      </c>
      <c r="N163" s="140">
        <v>15870</v>
      </c>
      <c r="O163" s="141">
        <v>8966.5499999999993</v>
      </c>
      <c r="P163" s="142">
        <f t="shared" si="36"/>
        <v>6903.4500000000007</v>
      </c>
      <c r="Q163" s="143"/>
      <c r="R163" s="219">
        <f t="shared" si="37"/>
        <v>27375</v>
      </c>
      <c r="S163" s="219">
        <f t="shared" si="39"/>
        <v>20075</v>
      </c>
      <c r="T163" s="219">
        <f t="shared" si="40"/>
        <v>19162.5</v>
      </c>
      <c r="U163" s="144">
        <v>18250</v>
      </c>
      <c r="V163" s="108">
        <f t="shared" si="44"/>
        <v>9863.2049999999999</v>
      </c>
      <c r="W163" s="79">
        <f t="shared" si="41"/>
        <v>8386.7950000000001</v>
      </c>
      <c r="X163" s="86">
        <v>6027</v>
      </c>
      <c r="Y163" s="244">
        <f t="shared" si="38"/>
        <v>10927</v>
      </c>
      <c r="Z163" s="245">
        <v>7323</v>
      </c>
    </row>
    <row r="164" spans="1:26" ht="13.5" hidden="1" thickTop="1" x14ac:dyDescent="0.2">
      <c r="A164" s="717" t="s">
        <v>145</v>
      </c>
      <c r="B164" s="160" t="s">
        <v>513</v>
      </c>
      <c r="C164" s="161" t="s">
        <v>13</v>
      </c>
      <c r="D164" s="216"/>
      <c r="E164" s="162">
        <v>16</v>
      </c>
      <c r="F164" s="163">
        <v>0.09</v>
      </c>
      <c r="G164" s="163">
        <v>20</v>
      </c>
      <c r="H164" s="164">
        <v>0</v>
      </c>
      <c r="I164" s="165">
        <f t="shared" si="42"/>
        <v>0</v>
      </c>
      <c r="J164" s="166">
        <f t="shared" si="43"/>
        <v>0</v>
      </c>
      <c r="K164" s="167">
        <f t="shared" si="33"/>
        <v>4125</v>
      </c>
      <c r="L164" s="167">
        <f t="shared" si="34"/>
        <v>3025.0000000000005</v>
      </c>
      <c r="M164" s="167">
        <f t="shared" si="35"/>
        <v>2887.5</v>
      </c>
      <c r="N164" s="168">
        <v>2750</v>
      </c>
      <c r="O164" s="169"/>
      <c r="P164" s="170">
        <f t="shared" si="36"/>
        <v>2750</v>
      </c>
      <c r="Q164" s="171"/>
      <c r="R164" s="221">
        <f t="shared" si="37"/>
        <v>4537.5000000000009</v>
      </c>
      <c r="S164" s="221">
        <f t="shared" si="39"/>
        <v>3327.5000000000009</v>
      </c>
      <c r="T164" s="221">
        <f t="shared" si="40"/>
        <v>3176.2500000000005</v>
      </c>
      <c r="U164" s="172">
        <f>N164*1.1</f>
        <v>3025.0000000000005</v>
      </c>
      <c r="V164" s="108"/>
      <c r="W164" s="79"/>
      <c r="X164" s="86"/>
      <c r="Y164" s="244">
        <f>U164-Z164</f>
        <v>3025.0000000000005</v>
      </c>
      <c r="Z164" s="245"/>
    </row>
    <row r="165" spans="1:26" ht="13.5" hidden="1" thickTop="1" x14ac:dyDescent="0.2">
      <c r="A165" s="710"/>
      <c r="B165" s="14" t="s">
        <v>514</v>
      </c>
      <c r="C165" s="7" t="s">
        <v>75</v>
      </c>
      <c r="D165" s="45"/>
      <c r="E165" s="5">
        <v>33</v>
      </c>
      <c r="F165" s="3">
        <v>0.23</v>
      </c>
      <c r="G165" s="3">
        <v>6</v>
      </c>
      <c r="H165" s="13">
        <v>0</v>
      </c>
      <c r="I165" s="29">
        <f t="shared" si="42"/>
        <v>0</v>
      </c>
      <c r="J165" s="30">
        <f t="shared" si="43"/>
        <v>0</v>
      </c>
      <c r="K165" s="93">
        <f t="shared" si="33"/>
        <v>7800</v>
      </c>
      <c r="L165" s="93">
        <f t="shared" si="34"/>
        <v>5720.0000000000009</v>
      </c>
      <c r="M165" s="93">
        <f t="shared" si="35"/>
        <v>5460</v>
      </c>
      <c r="N165" s="64">
        <v>5200</v>
      </c>
      <c r="O165" s="69"/>
      <c r="P165" s="132">
        <f t="shared" si="36"/>
        <v>5200</v>
      </c>
      <c r="Q165" s="133"/>
      <c r="R165" s="218">
        <f t="shared" si="37"/>
        <v>8580.0000000000018</v>
      </c>
      <c r="S165" s="218">
        <f t="shared" si="39"/>
        <v>6292.0000000000018</v>
      </c>
      <c r="T165" s="218">
        <f t="shared" si="40"/>
        <v>6006.0000000000009</v>
      </c>
      <c r="U165" s="111">
        <f>N165*1.1</f>
        <v>5720.0000000000009</v>
      </c>
      <c r="V165" s="108"/>
      <c r="W165" s="79"/>
      <c r="X165" s="86"/>
      <c r="Y165" s="244">
        <f>U165-Z165</f>
        <v>5720.0000000000009</v>
      </c>
      <c r="Z165" s="245"/>
    </row>
    <row r="166" spans="1:26" ht="15" customHeight="1" thickTop="1" thickBot="1" x14ac:dyDescent="0.25">
      <c r="A166" s="718"/>
      <c r="B166" s="173" t="s">
        <v>515</v>
      </c>
      <c r="C166" s="174" t="s">
        <v>92</v>
      </c>
      <c r="D166" s="211" t="s">
        <v>291</v>
      </c>
      <c r="E166" s="136">
        <v>16.5</v>
      </c>
      <c r="F166" s="176">
        <v>0.17</v>
      </c>
      <c r="G166" s="176"/>
      <c r="H166" s="178">
        <v>0</v>
      </c>
      <c r="I166" s="179">
        <f t="shared" si="42"/>
        <v>0</v>
      </c>
      <c r="J166" s="180">
        <f t="shared" si="43"/>
        <v>0</v>
      </c>
      <c r="K166" s="139">
        <f t="shared" si="33"/>
        <v>6000</v>
      </c>
      <c r="L166" s="139">
        <f t="shared" si="34"/>
        <v>4400</v>
      </c>
      <c r="M166" s="139">
        <f t="shared" si="35"/>
        <v>4200</v>
      </c>
      <c r="N166" s="140">
        <v>4000</v>
      </c>
      <c r="O166" s="141">
        <v>2893.7</v>
      </c>
      <c r="P166" s="142">
        <f t="shared" si="36"/>
        <v>1106.3000000000002</v>
      </c>
      <c r="Q166" s="143"/>
      <c r="R166" s="219">
        <f t="shared" si="37"/>
        <v>6600</v>
      </c>
      <c r="S166" s="219">
        <f t="shared" si="39"/>
        <v>4840</v>
      </c>
      <c r="T166" s="219">
        <f t="shared" si="40"/>
        <v>4620</v>
      </c>
      <c r="U166" s="144">
        <f>N166*1.1</f>
        <v>4400</v>
      </c>
      <c r="V166" s="108">
        <f>O166*1.1</f>
        <v>3183.07</v>
      </c>
      <c r="W166" s="79">
        <f t="shared" si="41"/>
        <v>1216.9299999999998</v>
      </c>
      <c r="X166" s="86">
        <v>777.2</v>
      </c>
      <c r="Y166" s="244">
        <f>U166-Z166</f>
        <v>3254</v>
      </c>
      <c r="Z166" s="245">
        <v>1146</v>
      </c>
    </row>
    <row r="167" spans="1:26" ht="13.5" hidden="1" thickTop="1" x14ac:dyDescent="0.2">
      <c r="A167" s="717" t="s">
        <v>160</v>
      </c>
      <c r="B167" s="160" t="s">
        <v>516</v>
      </c>
      <c r="C167" s="181" t="s">
        <v>74</v>
      </c>
      <c r="D167" s="210"/>
      <c r="E167" s="162">
        <v>13</v>
      </c>
      <c r="F167" s="163">
        <v>0.1</v>
      </c>
      <c r="G167" s="163">
        <v>10</v>
      </c>
      <c r="H167" s="164">
        <v>0</v>
      </c>
      <c r="I167" s="165">
        <f t="shared" si="42"/>
        <v>0</v>
      </c>
      <c r="J167" s="166">
        <f t="shared" si="43"/>
        <v>0</v>
      </c>
      <c r="K167" s="167">
        <f t="shared" si="33"/>
        <v>2370</v>
      </c>
      <c r="L167" s="167">
        <f t="shared" si="34"/>
        <v>1738.0000000000002</v>
      </c>
      <c r="M167" s="167">
        <f t="shared" si="35"/>
        <v>1659</v>
      </c>
      <c r="N167" s="168">
        <v>1580</v>
      </c>
      <c r="O167" s="169"/>
      <c r="P167" s="170">
        <f t="shared" si="36"/>
        <v>1580</v>
      </c>
      <c r="Q167" s="171"/>
      <c r="R167" s="221">
        <f t="shared" si="37"/>
        <v>2730</v>
      </c>
      <c r="S167" s="221">
        <f t="shared" si="39"/>
        <v>2002.0000000000002</v>
      </c>
      <c r="T167" s="221">
        <f t="shared" si="40"/>
        <v>1911</v>
      </c>
      <c r="U167" s="172">
        <v>1820</v>
      </c>
      <c r="V167" s="108"/>
      <c r="W167" s="79"/>
      <c r="X167" s="86"/>
      <c r="Y167" s="244">
        <f>U167-Z167</f>
        <v>1820</v>
      </c>
      <c r="Z167" s="245"/>
    </row>
    <row r="168" spans="1:26" ht="15" customHeight="1" thickTop="1" thickBot="1" x14ac:dyDescent="0.25">
      <c r="A168" s="718"/>
      <c r="B168" s="173" t="s">
        <v>517</v>
      </c>
      <c r="C168" s="174" t="s">
        <v>104</v>
      </c>
      <c r="D168" s="211" t="s">
        <v>285</v>
      </c>
      <c r="E168" s="136">
        <v>14</v>
      </c>
      <c r="F168" s="176">
        <v>0.12</v>
      </c>
      <c r="G168" s="176"/>
      <c r="H168" s="178">
        <v>0</v>
      </c>
      <c r="I168" s="179">
        <f t="shared" si="42"/>
        <v>0</v>
      </c>
      <c r="J168" s="180">
        <f t="shared" si="43"/>
        <v>0</v>
      </c>
      <c r="K168" s="139">
        <f t="shared" si="33"/>
        <v>4200</v>
      </c>
      <c r="L168" s="139">
        <f t="shared" si="34"/>
        <v>3080.0000000000005</v>
      </c>
      <c r="M168" s="139">
        <f t="shared" si="35"/>
        <v>2940</v>
      </c>
      <c r="N168" s="140">
        <v>2800</v>
      </c>
      <c r="O168" s="141">
        <v>1691.4</v>
      </c>
      <c r="P168" s="142">
        <f t="shared" si="36"/>
        <v>1108.5999999999999</v>
      </c>
      <c r="Q168" s="143"/>
      <c r="R168" s="219">
        <f t="shared" si="37"/>
        <v>4620.0000000000009</v>
      </c>
      <c r="S168" s="219">
        <f t="shared" si="39"/>
        <v>3388.0000000000009</v>
      </c>
      <c r="T168" s="219">
        <f t="shared" si="40"/>
        <v>3234.0000000000005</v>
      </c>
      <c r="U168" s="144">
        <f>N168*1.1</f>
        <v>3080.0000000000005</v>
      </c>
      <c r="V168" s="108">
        <f t="shared" ref="V168:V190" si="45">O168*1.1</f>
        <v>1860.5400000000002</v>
      </c>
      <c r="W168" s="79">
        <f t="shared" si="41"/>
        <v>1219.4600000000003</v>
      </c>
      <c r="X168" s="86">
        <v>780</v>
      </c>
      <c r="Y168" s="244">
        <f>U168-Z168</f>
        <v>1930.0000000000005</v>
      </c>
      <c r="Z168" s="245">
        <v>1150</v>
      </c>
    </row>
    <row r="169" spans="1:26" ht="16.5" hidden="1" thickTop="1" x14ac:dyDescent="0.25">
      <c r="A169" s="121"/>
      <c r="B169" s="217" t="s">
        <v>163</v>
      </c>
      <c r="C169" s="17"/>
      <c r="D169" s="17"/>
      <c r="E169" s="122"/>
      <c r="F169" s="123"/>
      <c r="G169" s="123"/>
      <c r="H169" s="124">
        <v>0</v>
      </c>
      <c r="I169" s="125"/>
      <c r="J169" s="126"/>
      <c r="K169" s="127">
        <f t="shared" si="33"/>
        <v>0</v>
      </c>
      <c r="L169" s="127">
        <f t="shared" si="34"/>
        <v>0</v>
      </c>
      <c r="M169" s="127">
        <f t="shared" si="35"/>
        <v>0</v>
      </c>
      <c r="N169" s="67"/>
      <c r="O169" s="128"/>
      <c r="P169" s="62">
        <f t="shared" si="36"/>
        <v>0</v>
      </c>
      <c r="R169" s="222"/>
      <c r="S169" s="222"/>
      <c r="T169" s="222"/>
      <c r="U169" s="129"/>
      <c r="V169" s="108">
        <f t="shared" si="45"/>
        <v>0</v>
      </c>
      <c r="W169" s="79">
        <f t="shared" si="41"/>
        <v>0</v>
      </c>
      <c r="X169" s="86"/>
      <c r="Y169" s="244"/>
      <c r="Z169" s="245"/>
    </row>
    <row r="170" spans="1:26" s="1" customFormat="1" ht="26.25" hidden="1" customHeight="1" x14ac:dyDescent="0.2">
      <c r="A170" s="711" t="s">
        <v>163</v>
      </c>
      <c r="B170" s="2" t="s">
        <v>47</v>
      </c>
      <c r="C170" s="9" t="s">
        <v>116</v>
      </c>
      <c r="D170" s="9"/>
      <c r="E170" s="5">
        <v>15</v>
      </c>
      <c r="F170" s="3">
        <v>0.06</v>
      </c>
      <c r="G170" s="3"/>
      <c r="H170" s="13">
        <v>0</v>
      </c>
      <c r="I170" s="29">
        <f t="shared" ref="I170:I185" si="46">H170*E170</f>
        <v>0</v>
      </c>
      <c r="J170" s="30">
        <f t="shared" ref="J170:J185" si="47">F170*H170</f>
        <v>0</v>
      </c>
      <c r="K170" s="93">
        <f t="shared" si="33"/>
        <v>0</v>
      </c>
      <c r="L170" s="93">
        <f t="shared" si="34"/>
        <v>0</v>
      </c>
      <c r="M170" s="93">
        <f t="shared" si="35"/>
        <v>0</v>
      </c>
      <c r="N170" s="64"/>
      <c r="O170" s="69"/>
      <c r="P170" s="61">
        <f t="shared" si="36"/>
        <v>0</v>
      </c>
      <c r="Q170" s="102"/>
      <c r="R170" s="218"/>
      <c r="S170" s="218"/>
      <c r="T170" s="218"/>
      <c r="U170" s="111"/>
      <c r="V170" s="83">
        <f t="shared" si="45"/>
        <v>0</v>
      </c>
      <c r="W170" s="80">
        <f t="shared" si="41"/>
        <v>0</v>
      </c>
      <c r="X170" s="86"/>
      <c r="Y170" s="246"/>
      <c r="Z170" s="247"/>
    </row>
    <row r="171" spans="1:26" ht="26.25" hidden="1" customHeight="1" x14ac:dyDescent="0.2">
      <c r="A171" s="711"/>
      <c r="B171" s="4" t="s">
        <v>48</v>
      </c>
      <c r="C171" s="9" t="s">
        <v>117</v>
      </c>
      <c r="D171" s="9"/>
      <c r="E171" s="5">
        <v>14.6</v>
      </c>
      <c r="F171" s="3">
        <v>6.2E-2</v>
      </c>
      <c r="G171" s="3"/>
      <c r="H171" s="13">
        <v>0</v>
      </c>
      <c r="I171" s="29">
        <f t="shared" si="46"/>
        <v>0</v>
      </c>
      <c r="J171" s="30">
        <f t="shared" si="47"/>
        <v>0</v>
      </c>
      <c r="K171" s="93">
        <f t="shared" si="33"/>
        <v>0</v>
      </c>
      <c r="L171" s="93">
        <f t="shared" si="34"/>
        <v>0</v>
      </c>
      <c r="M171" s="93">
        <f t="shared" si="35"/>
        <v>0</v>
      </c>
      <c r="N171" s="64"/>
      <c r="O171" s="69"/>
      <c r="P171" s="62">
        <f t="shared" si="36"/>
        <v>0</v>
      </c>
      <c r="R171" s="218"/>
      <c r="S171" s="218"/>
      <c r="T171" s="218"/>
      <c r="U171" s="111"/>
      <c r="V171" s="108">
        <f t="shared" si="45"/>
        <v>0</v>
      </c>
      <c r="W171" s="79">
        <f t="shared" si="41"/>
        <v>0</v>
      </c>
      <c r="X171" s="86"/>
      <c r="Y171" s="244"/>
      <c r="Z171" s="245"/>
    </row>
    <row r="172" spans="1:26" ht="26.25" hidden="1" customHeight="1" x14ac:dyDescent="0.2">
      <c r="A172" s="711"/>
      <c r="B172" s="4" t="s">
        <v>49</v>
      </c>
      <c r="C172" s="9" t="s">
        <v>118</v>
      </c>
      <c r="D172" s="9"/>
      <c r="E172" s="5">
        <v>15.2</v>
      </c>
      <c r="F172" s="3">
        <v>0.06</v>
      </c>
      <c r="G172" s="3"/>
      <c r="H172" s="13">
        <v>0</v>
      </c>
      <c r="I172" s="29">
        <f t="shared" si="46"/>
        <v>0</v>
      </c>
      <c r="J172" s="30">
        <f t="shared" si="47"/>
        <v>0</v>
      </c>
      <c r="K172" s="93">
        <f t="shared" si="33"/>
        <v>0</v>
      </c>
      <c r="L172" s="93">
        <f t="shared" si="34"/>
        <v>0</v>
      </c>
      <c r="M172" s="93">
        <f t="shared" si="35"/>
        <v>0</v>
      </c>
      <c r="N172" s="64"/>
      <c r="O172" s="69"/>
      <c r="P172" s="62">
        <f t="shared" si="36"/>
        <v>0</v>
      </c>
      <c r="R172" s="218"/>
      <c r="S172" s="218"/>
      <c r="T172" s="218"/>
      <c r="U172" s="111"/>
      <c r="V172" s="108">
        <f t="shared" si="45"/>
        <v>0</v>
      </c>
      <c r="W172" s="79">
        <f t="shared" si="41"/>
        <v>0</v>
      </c>
      <c r="X172" s="86"/>
      <c r="Y172" s="244"/>
      <c r="Z172" s="245"/>
    </row>
    <row r="173" spans="1:26" ht="26.25" hidden="1" customHeight="1" x14ac:dyDescent="0.2">
      <c r="A173" s="711"/>
      <c r="B173" s="4" t="s">
        <v>50</v>
      </c>
      <c r="C173" s="9" t="s">
        <v>119</v>
      </c>
      <c r="D173" s="9"/>
      <c r="E173" s="5">
        <v>18</v>
      </c>
      <c r="F173" s="3">
        <v>7.5999999999999998E-2</v>
      </c>
      <c r="G173" s="3"/>
      <c r="H173" s="13">
        <v>0</v>
      </c>
      <c r="I173" s="29">
        <f t="shared" si="46"/>
        <v>0</v>
      </c>
      <c r="J173" s="30">
        <f t="shared" si="47"/>
        <v>0</v>
      </c>
      <c r="K173" s="93">
        <f t="shared" si="33"/>
        <v>0</v>
      </c>
      <c r="L173" s="93">
        <f t="shared" si="34"/>
        <v>0</v>
      </c>
      <c r="M173" s="93">
        <f t="shared" si="35"/>
        <v>0</v>
      </c>
      <c r="N173" s="64"/>
      <c r="O173" s="69"/>
      <c r="P173" s="62">
        <f t="shared" si="36"/>
        <v>0</v>
      </c>
      <c r="R173" s="218"/>
      <c r="S173" s="218"/>
      <c r="T173" s="218"/>
      <c r="U173" s="111"/>
      <c r="V173" s="108">
        <f t="shared" si="45"/>
        <v>0</v>
      </c>
      <c r="W173" s="79">
        <f t="shared" si="41"/>
        <v>0</v>
      </c>
      <c r="X173" s="86"/>
      <c r="Y173" s="244"/>
      <c r="Z173" s="245"/>
    </row>
    <row r="174" spans="1:26" ht="24" hidden="1" customHeight="1" x14ac:dyDescent="0.2">
      <c r="A174" s="711"/>
      <c r="B174" s="4" t="s">
        <v>528</v>
      </c>
      <c r="C174" s="9" t="s">
        <v>121</v>
      </c>
      <c r="D174" s="9"/>
      <c r="E174" s="5">
        <v>22</v>
      </c>
      <c r="F174" s="3">
        <v>0.1</v>
      </c>
      <c r="G174" s="3"/>
      <c r="H174" s="13">
        <v>0</v>
      </c>
      <c r="I174" s="29">
        <f t="shared" si="46"/>
        <v>0</v>
      </c>
      <c r="J174" s="30">
        <f t="shared" si="47"/>
        <v>0</v>
      </c>
      <c r="K174" s="93">
        <f t="shared" si="33"/>
        <v>0</v>
      </c>
      <c r="L174" s="93">
        <f t="shared" si="34"/>
        <v>0</v>
      </c>
      <c r="M174" s="93">
        <f t="shared" si="35"/>
        <v>0</v>
      </c>
      <c r="N174" s="64"/>
      <c r="O174" s="69"/>
      <c r="P174" s="62">
        <f t="shared" si="36"/>
        <v>0</v>
      </c>
      <c r="R174" s="218"/>
      <c r="S174" s="218"/>
      <c r="T174" s="218"/>
      <c r="U174" s="111"/>
      <c r="V174" s="108">
        <f t="shared" si="45"/>
        <v>0</v>
      </c>
      <c r="W174" s="79">
        <f t="shared" si="41"/>
        <v>0</v>
      </c>
      <c r="X174" s="86"/>
      <c r="Y174" s="244"/>
      <c r="Z174" s="245"/>
    </row>
    <row r="175" spans="1:26" ht="27" hidden="1" customHeight="1" x14ac:dyDescent="0.2">
      <c r="A175" s="711"/>
      <c r="B175" s="4" t="s">
        <v>461</v>
      </c>
      <c r="C175" s="9" t="s">
        <v>462</v>
      </c>
      <c r="D175" s="41"/>
      <c r="E175" s="36"/>
      <c r="F175" s="34"/>
      <c r="G175" s="34"/>
      <c r="H175" s="37"/>
      <c r="I175" s="38"/>
      <c r="J175" s="81"/>
      <c r="K175" s="94">
        <f>N175*1.5</f>
        <v>0</v>
      </c>
      <c r="L175" s="94">
        <f>N175*1.1</f>
        <v>0</v>
      </c>
      <c r="M175" s="94">
        <f>N175*1.05</f>
        <v>0</v>
      </c>
      <c r="N175" s="82"/>
      <c r="O175" s="83"/>
      <c r="P175" s="84">
        <f>N175-O175</f>
        <v>0</v>
      </c>
      <c r="Q175" s="101"/>
      <c r="R175" s="223"/>
      <c r="S175" s="223"/>
      <c r="T175" s="224"/>
      <c r="U175" s="118"/>
      <c r="V175" s="119">
        <f>O175*1.1</f>
        <v>0</v>
      </c>
      <c r="W175" s="89">
        <f>U175-V175</f>
        <v>0</v>
      </c>
      <c r="X175" s="90"/>
      <c r="Y175" s="244"/>
      <c r="Z175" s="245"/>
    </row>
    <row r="176" spans="1:26" ht="23.25" hidden="1" customHeight="1" x14ac:dyDescent="0.2">
      <c r="A176" s="711"/>
      <c r="B176" s="4" t="s">
        <v>52</v>
      </c>
      <c r="C176" s="9" t="s">
        <v>120</v>
      </c>
      <c r="D176" s="9"/>
      <c r="E176" s="5">
        <v>28.5</v>
      </c>
      <c r="F176" s="3">
        <v>0.125</v>
      </c>
      <c r="G176" s="3"/>
      <c r="H176" s="13">
        <v>0</v>
      </c>
      <c r="I176" s="29">
        <f t="shared" si="46"/>
        <v>0</v>
      </c>
      <c r="J176" s="30">
        <f t="shared" si="47"/>
        <v>0</v>
      </c>
      <c r="K176" s="93">
        <f t="shared" si="33"/>
        <v>0</v>
      </c>
      <c r="L176" s="93">
        <f t="shared" si="34"/>
        <v>0</v>
      </c>
      <c r="M176" s="93">
        <f t="shared" si="35"/>
        <v>0</v>
      </c>
      <c r="N176" s="64"/>
      <c r="O176" s="69"/>
      <c r="P176" s="62">
        <f t="shared" si="36"/>
        <v>0</v>
      </c>
      <c r="R176" s="218"/>
      <c r="S176" s="218"/>
      <c r="T176" s="218"/>
      <c r="U176" s="111"/>
      <c r="V176" s="108">
        <f t="shared" si="45"/>
        <v>0</v>
      </c>
      <c r="W176" s="79">
        <f t="shared" si="41"/>
        <v>0</v>
      </c>
      <c r="X176" s="86"/>
      <c r="Y176" s="244"/>
      <c r="Z176" s="245"/>
    </row>
    <row r="177" spans="1:26" ht="30" hidden="1" customHeight="1" x14ac:dyDescent="0.2">
      <c r="A177" s="711"/>
      <c r="B177" s="4" t="s">
        <v>527</v>
      </c>
      <c r="C177" s="9"/>
      <c r="D177" s="9"/>
      <c r="E177" s="5">
        <v>14.4</v>
      </c>
      <c r="F177" s="3">
        <v>5.8000000000000003E-2</v>
      </c>
      <c r="G177" s="3"/>
      <c r="H177" s="13">
        <v>0</v>
      </c>
      <c r="I177" s="29">
        <f t="shared" si="46"/>
        <v>0</v>
      </c>
      <c r="J177" s="30">
        <f t="shared" si="47"/>
        <v>0</v>
      </c>
      <c r="K177" s="93">
        <f t="shared" si="33"/>
        <v>0</v>
      </c>
      <c r="L177" s="93">
        <f t="shared" si="34"/>
        <v>0</v>
      </c>
      <c r="M177" s="93">
        <f t="shared" si="35"/>
        <v>0</v>
      </c>
      <c r="N177" s="64"/>
      <c r="O177" s="69"/>
      <c r="P177" s="62">
        <f t="shared" si="36"/>
        <v>0</v>
      </c>
      <c r="R177" s="218"/>
      <c r="S177" s="218"/>
      <c r="T177" s="218"/>
      <c r="U177" s="111"/>
      <c r="V177" s="108">
        <f t="shared" si="45"/>
        <v>0</v>
      </c>
      <c r="W177" s="79">
        <f t="shared" si="41"/>
        <v>0</v>
      </c>
      <c r="X177" s="86"/>
      <c r="Y177" s="244"/>
      <c r="Z177" s="245"/>
    </row>
    <row r="178" spans="1:26" ht="15.75" hidden="1" customHeight="1" x14ac:dyDescent="0.2">
      <c r="A178" s="711"/>
      <c r="B178" s="4" t="s">
        <v>54</v>
      </c>
      <c r="C178" s="9" t="s">
        <v>122</v>
      </c>
      <c r="D178" s="9"/>
      <c r="E178" s="5">
        <v>11.7</v>
      </c>
      <c r="F178" s="3">
        <v>5.3999999999999999E-2</v>
      </c>
      <c r="G178" s="3"/>
      <c r="H178" s="13">
        <v>0</v>
      </c>
      <c r="I178" s="29">
        <f t="shared" si="46"/>
        <v>0</v>
      </c>
      <c r="J178" s="30">
        <f t="shared" si="47"/>
        <v>0</v>
      </c>
      <c r="K178" s="93">
        <f t="shared" si="33"/>
        <v>0</v>
      </c>
      <c r="L178" s="93">
        <f t="shared" si="34"/>
        <v>0</v>
      </c>
      <c r="M178" s="93">
        <f t="shared" si="35"/>
        <v>0</v>
      </c>
      <c r="N178" s="64"/>
      <c r="O178" s="69"/>
      <c r="P178" s="62">
        <f t="shared" si="36"/>
        <v>0</v>
      </c>
      <c r="R178" s="218"/>
      <c r="S178" s="218"/>
      <c r="T178" s="218"/>
      <c r="U178" s="111"/>
      <c r="V178" s="108">
        <f t="shared" si="45"/>
        <v>0</v>
      </c>
      <c r="W178" s="79">
        <f t="shared" si="41"/>
        <v>0</v>
      </c>
      <c r="X178" s="86"/>
      <c r="Y178" s="244"/>
      <c r="Z178" s="245"/>
    </row>
    <row r="179" spans="1:26" ht="15.75" hidden="1" customHeight="1" x14ac:dyDescent="0.2">
      <c r="A179" s="711"/>
      <c r="B179" s="4" t="s">
        <v>55</v>
      </c>
      <c r="C179" s="9" t="s">
        <v>123</v>
      </c>
      <c r="D179" s="9"/>
      <c r="E179" s="5">
        <v>15.7</v>
      </c>
      <c r="F179" s="3">
        <v>7.3999999999999996E-2</v>
      </c>
      <c r="G179" s="3"/>
      <c r="H179" s="13">
        <v>0</v>
      </c>
      <c r="I179" s="29">
        <f t="shared" si="46"/>
        <v>0</v>
      </c>
      <c r="J179" s="30">
        <f t="shared" si="47"/>
        <v>0</v>
      </c>
      <c r="K179" s="93">
        <f t="shared" si="33"/>
        <v>0</v>
      </c>
      <c r="L179" s="93">
        <f t="shared" si="34"/>
        <v>0</v>
      </c>
      <c r="M179" s="93">
        <f t="shared" si="35"/>
        <v>0</v>
      </c>
      <c r="N179" s="64"/>
      <c r="O179" s="69"/>
      <c r="P179" s="62">
        <f t="shared" si="36"/>
        <v>0</v>
      </c>
      <c r="R179" s="218"/>
      <c r="S179" s="218"/>
      <c r="T179" s="218"/>
      <c r="U179" s="111"/>
      <c r="V179" s="108">
        <f t="shared" si="45"/>
        <v>0</v>
      </c>
      <c r="W179" s="79">
        <f t="shared" si="41"/>
        <v>0</v>
      </c>
      <c r="X179" s="86"/>
      <c r="Y179" s="244"/>
      <c r="Z179" s="245"/>
    </row>
    <row r="180" spans="1:26" ht="15.75" hidden="1" customHeight="1" x14ac:dyDescent="0.2">
      <c r="A180" s="711"/>
      <c r="B180" s="4" t="s">
        <v>56</v>
      </c>
      <c r="C180" s="9" t="s">
        <v>124</v>
      </c>
      <c r="D180" s="9"/>
      <c r="E180" s="5">
        <v>28</v>
      </c>
      <c r="F180" s="3">
        <v>0.12</v>
      </c>
      <c r="G180" s="3"/>
      <c r="H180" s="13">
        <v>0</v>
      </c>
      <c r="I180" s="29">
        <f t="shared" si="46"/>
        <v>0</v>
      </c>
      <c r="J180" s="30">
        <f t="shared" si="47"/>
        <v>0</v>
      </c>
      <c r="K180" s="93">
        <f t="shared" si="33"/>
        <v>0</v>
      </c>
      <c r="L180" s="93">
        <f t="shared" si="34"/>
        <v>0</v>
      </c>
      <c r="M180" s="93">
        <f t="shared" si="35"/>
        <v>0</v>
      </c>
      <c r="N180" s="64"/>
      <c r="O180" s="69"/>
      <c r="P180" s="62">
        <f t="shared" si="36"/>
        <v>0</v>
      </c>
      <c r="R180" s="218"/>
      <c r="S180" s="218"/>
      <c r="T180" s="218"/>
      <c r="U180" s="111"/>
      <c r="V180" s="108">
        <f t="shared" si="45"/>
        <v>0</v>
      </c>
      <c r="W180" s="79">
        <f t="shared" si="41"/>
        <v>0</v>
      </c>
      <c r="X180" s="86"/>
      <c r="Y180" s="244"/>
      <c r="Z180" s="245"/>
    </row>
    <row r="181" spans="1:26" ht="26.25" hidden="1" customHeight="1" x14ac:dyDescent="0.2">
      <c r="A181" s="711"/>
      <c r="B181" s="4" t="s">
        <v>57</v>
      </c>
      <c r="C181" s="9" t="s">
        <v>129</v>
      </c>
      <c r="D181" s="9"/>
      <c r="E181" s="5">
        <v>8</v>
      </c>
      <c r="F181" s="3">
        <v>0.05</v>
      </c>
      <c r="G181" s="3"/>
      <c r="H181" s="13">
        <v>0</v>
      </c>
      <c r="I181" s="29">
        <f t="shared" si="46"/>
        <v>0</v>
      </c>
      <c r="J181" s="30">
        <f t="shared" si="47"/>
        <v>0</v>
      </c>
      <c r="K181" s="93">
        <f t="shared" si="33"/>
        <v>0</v>
      </c>
      <c r="L181" s="93">
        <f t="shared" si="34"/>
        <v>0</v>
      </c>
      <c r="M181" s="93">
        <f t="shared" si="35"/>
        <v>0</v>
      </c>
      <c r="N181" s="64"/>
      <c r="O181" s="69"/>
      <c r="P181" s="62">
        <f t="shared" si="36"/>
        <v>0</v>
      </c>
      <c r="R181" s="218"/>
      <c r="S181" s="218"/>
      <c r="T181" s="218"/>
      <c r="U181" s="111"/>
      <c r="V181" s="108">
        <f t="shared" si="45"/>
        <v>0</v>
      </c>
      <c r="W181" s="79">
        <f t="shared" si="41"/>
        <v>0</v>
      </c>
      <c r="X181" s="86"/>
      <c r="Y181" s="244"/>
      <c r="Z181" s="245"/>
    </row>
    <row r="182" spans="1:26" ht="26.25" hidden="1" customHeight="1" x14ac:dyDescent="0.2">
      <c r="A182" s="711"/>
      <c r="B182" s="4" t="s">
        <v>58</v>
      </c>
      <c r="C182" s="9" t="s">
        <v>130</v>
      </c>
      <c r="D182" s="9"/>
      <c r="E182" s="5">
        <v>12</v>
      </c>
      <c r="F182" s="3">
        <v>0.06</v>
      </c>
      <c r="G182" s="3"/>
      <c r="H182" s="13">
        <v>0</v>
      </c>
      <c r="I182" s="29">
        <f t="shared" si="46"/>
        <v>0</v>
      </c>
      <c r="J182" s="30">
        <f t="shared" si="47"/>
        <v>0</v>
      </c>
      <c r="K182" s="93">
        <f t="shared" si="33"/>
        <v>0</v>
      </c>
      <c r="L182" s="93">
        <f t="shared" si="34"/>
        <v>0</v>
      </c>
      <c r="M182" s="93">
        <f t="shared" si="35"/>
        <v>0</v>
      </c>
      <c r="N182" s="64"/>
      <c r="O182" s="69"/>
      <c r="P182" s="62">
        <f t="shared" si="36"/>
        <v>0</v>
      </c>
      <c r="R182" s="218"/>
      <c r="S182" s="218"/>
      <c r="T182" s="218"/>
      <c r="U182" s="111"/>
      <c r="V182" s="108">
        <f t="shared" si="45"/>
        <v>0</v>
      </c>
      <c r="W182" s="79">
        <f t="shared" si="41"/>
        <v>0</v>
      </c>
      <c r="X182" s="86"/>
      <c r="Y182" s="244"/>
      <c r="Z182" s="245"/>
    </row>
    <row r="183" spans="1:26" ht="26.25" hidden="1" customHeight="1" x14ac:dyDescent="0.2">
      <c r="A183" s="711"/>
      <c r="B183" s="4" t="s">
        <v>59</v>
      </c>
      <c r="C183" s="9" t="s">
        <v>131</v>
      </c>
      <c r="D183" s="9"/>
      <c r="E183" s="5">
        <v>15</v>
      </c>
      <c r="F183" s="3">
        <v>7.4999999999999997E-2</v>
      </c>
      <c r="G183" s="3"/>
      <c r="H183" s="13">
        <v>0</v>
      </c>
      <c r="I183" s="29">
        <f t="shared" si="46"/>
        <v>0</v>
      </c>
      <c r="J183" s="30">
        <f t="shared" si="47"/>
        <v>0</v>
      </c>
      <c r="K183" s="93">
        <f t="shared" si="33"/>
        <v>0</v>
      </c>
      <c r="L183" s="93">
        <f t="shared" si="34"/>
        <v>0</v>
      </c>
      <c r="M183" s="93">
        <f t="shared" si="35"/>
        <v>0</v>
      </c>
      <c r="N183" s="64"/>
      <c r="O183" s="69"/>
      <c r="P183" s="62">
        <f t="shared" si="36"/>
        <v>0</v>
      </c>
      <c r="R183" s="218"/>
      <c r="S183" s="218"/>
      <c r="T183" s="218"/>
      <c r="U183" s="111"/>
      <c r="V183" s="108">
        <f t="shared" si="45"/>
        <v>0</v>
      </c>
      <c r="W183" s="79">
        <f t="shared" si="41"/>
        <v>0</v>
      </c>
      <c r="X183" s="86"/>
      <c r="Y183" s="244"/>
      <c r="Z183" s="245"/>
    </row>
    <row r="184" spans="1:26" ht="26.25" hidden="1" customHeight="1" x14ac:dyDescent="0.2">
      <c r="A184" s="711"/>
      <c r="B184" s="4" t="s">
        <v>60</v>
      </c>
      <c r="C184" s="9" t="s">
        <v>132</v>
      </c>
      <c r="D184" s="9"/>
      <c r="E184" s="5">
        <v>20</v>
      </c>
      <c r="F184" s="3">
        <v>8.5999999999999993E-2</v>
      </c>
      <c r="G184" s="3"/>
      <c r="H184" s="13">
        <v>0</v>
      </c>
      <c r="I184" s="29">
        <f t="shared" si="46"/>
        <v>0</v>
      </c>
      <c r="J184" s="30">
        <f t="shared" si="47"/>
        <v>0</v>
      </c>
      <c r="K184" s="93">
        <f t="shared" si="33"/>
        <v>0</v>
      </c>
      <c r="L184" s="93">
        <f t="shared" si="34"/>
        <v>0</v>
      </c>
      <c r="M184" s="93">
        <f t="shared" si="35"/>
        <v>0</v>
      </c>
      <c r="N184" s="64"/>
      <c r="O184" s="69"/>
      <c r="P184" s="62">
        <f t="shared" si="36"/>
        <v>0</v>
      </c>
      <c r="R184" s="218"/>
      <c r="S184" s="218"/>
      <c r="T184" s="218"/>
      <c r="U184" s="111"/>
      <c r="V184" s="108">
        <f t="shared" si="45"/>
        <v>0</v>
      </c>
      <c r="W184" s="79">
        <f t="shared" si="41"/>
        <v>0</v>
      </c>
      <c r="X184" s="86"/>
      <c r="Y184" s="244"/>
      <c r="Z184" s="245"/>
    </row>
    <row r="185" spans="1:26" ht="15.75" hidden="1" customHeight="1" x14ac:dyDescent="0.2">
      <c r="A185" s="711"/>
      <c r="B185" s="4" t="s">
        <v>328</v>
      </c>
      <c r="C185" s="9" t="s">
        <v>125</v>
      </c>
      <c r="D185" s="9"/>
      <c r="E185" s="5"/>
      <c r="F185" s="3">
        <v>0.54</v>
      </c>
      <c r="G185" s="3"/>
      <c r="H185" s="13">
        <v>0</v>
      </c>
      <c r="I185" s="29">
        <f t="shared" si="46"/>
        <v>0</v>
      </c>
      <c r="J185" s="30">
        <f t="shared" si="47"/>
        <v>0</v>
      </c>
      <c r="K185" s="93">
        <f t="shared" si="33"/>
        <v>0</v>
      </c>
      <c r="L185" s="93">
        <f t="shared" si="34"/>
        <v>0</v>
      </c>
      <c r="M185" s="93">
        <f t="shared" si="35"/>
        <v>0</v>
      </c>
      <c r="N185" s="64"/>
      <c r="O185" s="69"/>
      <c r="P185" s="62">
        <f t="shared" si="36"/>
        <v>0</v>
      </c>
      <c r="R185" s="218"/>
      <c r="S185" s="218"/>
      <c r="T185" s="218"/>
      <c r="U185" s="111"/>
      <c r="V185" s="108">
        <f t="shared" si="45"/>
        <v>0</v>
      </c>
      <c r="W185" s="79">
        <f t="shared" si="41"/>
        <v>0</v>
      </c>
      <c r="X185" s="86"/>
      <c r="Y185" s="244"/>
      <c r="Z185" s="245"/>
    </row>
    <row r="186" spans="1:26" ht="14.25" hidden="1" customHeight="1" x14ac:dyDescent="0.2">
      <c r="A186" s="711"/>
      <c r="B186" s="4" t="s">
        <v>331</v>
      </c>
      <c r="C186" s="9" t="s">
        <v>125</v>
      </c>
      <c r="D186" s="41"/>
      <c r="E186" s="36"/>
      <c r="F186" s="34"/>
      <c r="G186" s="34"/>
      <c r="H186" s="37"/>
      <c r="I186" s="38"/>
      <c r="J186" s="39"/>
      <c r="K186" s="94">
        <f t="shared" si="33"/>
        <v>0</v>
      </c>
      <c r="L186" s="94">
        <f t="shared" si="34"/>
        <v>0</v>
      </c>
      <c r="M186" s="94">
        <f t="shared" si="35"/>
        <v>0</v>
      </c>
      <c r="N186" s="64"/>
      <c r="O186" s="69"/>
      <c r="P186" s="62">
        <f t="shared" si="36"/>
        <v>0</v>
      </c>
      <c r="R186" s="218"/>
      <c r="S186" s="218"/>
      <c r="T186" s="218"/>
      <c r="U186" s="111"/>
      <c r="V186" s="108">
        <f t="shared" si="45"/>
        <v>0</v>
      </c>
      <c r="W186" s="79">
        <f>U186-V186</f>
        <v>0</v>
      </c>
      <c r="X186" s="86"/>
      <c r="Y186" s="244"/>
      <c r="Z186" s="245"/>
    </row>
    <row r="187" spans="1:26" ht="15.75" hidden="1" customHeight="1" x14ac:dyDescent="0.2">
      <c r="A187" s="711"/>
      <c r="B187" s="4" t="s">
        <v>330</v>
      </c>
      <c r="C187" s="9" t="s">
        <v>126</v>
      </c>
      <c r="D187" s="9"/>
      <c r="E187" s="5"/>
      <c r="F187" s="3">
        <v>0.114</v>
      </c>
      <c r="G187" s="3"/>
      <c r="H187" s="13">
        <v>0</v>
      </c>
      <c r="I187" s="29">
        <f>H187*E187</f>
        <v>0</v>
      </c>
      <c r="J187" s="30">
        <f>F187*H187</f>
        <v>0</v>
      </c>
      <c r="K187" s="93">
        <f t="shared" si="33"/>
        <v>0</v>
      </c>
      <c r="L187" s="93">
        <f t="shared" si="34"/>
        <v>0</v>
      </c>
      <c r="M187" s="93">
        <f t="shared" si="35"/>
        <v>0</v>
      </c>
      <c r="N187" s="64"/>
      <c r="O187" s="69"/>
      <c r="P187" s="62">
        <f t="shared" si="36"/>
        <v>0</v>
      </c>
      <c r="R187" s="218"/>
      <c r="S187" s="218"/>
      <c r="T187" s="218"/>
      <c r="U187" s="111"/>
      <c r="V187" s="108">
        <f t="shared" si="45"/>
        <v>0</v>
      </c>
      <c r="W187" s="79">
        <f>U187-V187</f>
        <v>0</v>
      </c>
      <c r="X187" s="86"/>
      <c r="Y187" s="244"/>
      <c r="Z187" s="245"/>
    </row>
    <row r="188" spans="1:26" ht="15.75" hidden="1" customHeight="1" x14ac:dyDescent="0.2">
      <c r="A188" s="711"/>
      <c r="B188" s="4" t="s">
        <v>329</v>
      </c>
      <c r="C188" s="9" t="s">
        <v>127</v>
      </c>
      <c r="D188" s="9"/>
      <c r="E188" s="5"/>
      <c r="F188" s="3">
        <v>0.09</v>
      </c>
      <c r="G188" s="3"/>
      <c r="H188" s="13">
        <v>0</v>
      </c>
      <c r="I188" s="29">
        <f>H188*E188</f>
        <v>0</v>
      </c>
      <c r="J188" s="30">
        <f>F188*H188</f>
        <v>0</v>
      </c>
      <c r="K188" s="93">
        <f t="shared" si="33"/>
        <v>0</v>
      </c>
      <c r="L188" s="93">
        <f t="shared" si="34"/>
        <v>0</v>
      </c>
      <c r="M188" s="93">
        <f t="shared" si="35"/>
        <v>0</v>
      </c>
      <c r="N188" s="64"/>
      <c r="O188" s="69"/>
      <c r="P188" s="62">
        <f t="shared" si="36"/>
        <v>0</v>
      </c>
      <c r="R188" s="218"/>
      <c r="S188" s="218"/>
      <c r="T188" s="218"/>
      <c r="U188" s="111"/>
      <c r="V188" s="108">
        <f t="shared" si="45"/>
        <v>0</v>
      </c>
      <c r="W188" s="79">
        <f>U188-V188</f>
        <v>0</v>
      </c>
      <c r="X188" s="86"/>
      <c r="Y188" s="244"/>
      <c r="Z188" s="245"/>
    </row>
    <row r="189" spans="1:26" ht="18" hidden="1" customHeight="1" x14ac:dyDescent="0.2">
      <c r="A189" s="711"/>
      <c r="B189" s="120" t="s">
        <v>364</v>
      </c>
      <c r="C189" s="41" t="s">
        <v>344</v>
      </c>
      <c r="D189" s="41"/>
      <c r="E189" s="36"/>
      <c r="F189" s="34"/>
      <c r="G189" s="34"/>
      <c r="H189" s="37"/>
      <c r="I189" s="38"/>
      <c r="J189" s="39"/>
      <c r="K189" s="94">
        <f t="shared" si="33"/>
        <v>0</v>
      </c>
      <c r="L189" s="94">
        <f t="shared" si="34"/>
        <v>0</v>
      </c>
      <c r="M189" s="94">
        <f t="shared" si="35"/>
        <v>0</v>
      </c>
      <c r="N189" s="64"/>
      <c r="O189" s="69"/>
      <c r="P189" s="62">
        <f t="shared" si="36"/>
        <v>0</v>
      </c>
      <c r="R189" s="218"/>
      <c r="S189" s="218"/>
      <c r="T189" s="218"/>
      <c r="U189" s="111"/>
      <c r="V189" s="108">
        <f t="shared" si="45"/>
        <v>0</v>
      </c>
      <c r="W189" s="79">
        <f>U189-V189</f>
        <v>0</v>
      </c>
      <c r="X189" s="86"/>
      <c r="Y189" s="244"/>
      <c r="Z189" s="245"/>
    </row>
    <row r="190" spans="1:26" ht="17.25" hidden="1" customHeight="1" x14ac:dyDescent="0.2">
      <c r="A190" s="711"/>
      <c r="B190" s="4" t="s">
        <v>300</v>
      </c>
      <c r="C190" s="9" t="s">
        <v>128</v>
      </c>
      <c r="D190" s="9"/>
      <c r="E190" s="5"/>
      <c r="F190" s="3">
        <v>0.114</v>
      </c>
      <c r="G190" s="3"/>
      <c r="H190" s="13">
        <v>0</v>
      </c>
      <c r="I190" s="29">
        <f>H190*E190</f>
        <v>0</v>
      </c>
      <c r="J190" s="30">
        <f>F190*H190</f>
        <v>0</v>
      </c>
      <c r="K190" s="95">
        <f t="shared" si="33"/>
        <v>0</v>
      </c>
      <c r="L190" s="95">
        <f t="shared" si="34"/>
        <v>0</v>
      </c>
      <c r="M190" s="95">
        <f t="shared" si="35"/>
        <v>0</v>
      </c>
      <c r="N190" s="68"/>
      <c r="O190" s="69"/>
      <c r="P190" s="62">
        <f t="shared" si="36"/>
        <v>0</v>
      </c>
      <c r="R190" s="218"/>
      <c r="S190" s="218"/>
      <c r="T190" s="218"/>
      <c r="U190" s="111"/>
      <c r="V190" s="108">
        <f t="shared" si="45"/>
        <v>0</v>
      </c>
      <c r="W190" s="79">
        <f>U190-V190</f>
        <v>0</v>
      </c>
      <c r="X190" s="86"/>
      <c r="Y190" s="244"/>
      <c r="Z190" s="245"/>
    </row>
    <row r="191" spans="1:26" ht="16.5" thickTop="1" x14ac:dyDescent="0.25"/>
    <row r="192" spans="1:26" x14ac:dyDescent="0.25">
      <c r="B192" s="15" t="s">
        <v>299</v>
      </c>
    </row>
    <row r="193" spans="2:22" x14ac:dyDescent="0.25">
      <c r="B193" s="11" t="s">
        <v>217</v>
      </c>
      <c r="C193"/>
      <c r="D193"/>
      <c r="E193"/>
      <c r="F193"/>
      <c r="G193"/>
      <c r="H193" s="18"/>
      <c r="I193" s="18" t="s">
        <v>335</v>
      </c>
      <c r="J193" s="18"/>
      <c r="K193" s="97"/>
      <c r="L193" s="97"/>
      <c r="M193" s="97"/>
      <c r="N193" s="18"/>
      <c r="O193" s="18"/>
      <c r="P193" s="18" t="s">
        <v>335</v>
      </c>
      <c r="Q193" s="103"/>
      <c r="R193" s="97"/>
      <c r="S193" s="97"/>
      <c r="T193" s="97"/>
      <c r="U193" s="113"/>
      <c r="V193" s="18"/>
    </row>
    <row r="194" spans="2:22" x14ac:dyDescent="0.25">
      <c r="B194" s="11" t="s">
        <v>200</v>
      </c>
      <c r="C194"/>
      <c r="D194"/>
      <c r="E194"/>
      <c r="F194"/>
      <c r="G194"/>
      <c r="H194" s="18"/>
      <c r="I194" s="18" t="s">
        <v>164</v>
      </c>
      <c r="J194" s="18"/>
      <c r="K194" s="97"/>
      <c r="L194" s="97"/>
      <c r="M194" s="97"/>
      <c r="N194" s="18"/>
      <c r="O194" s="18"/>
      <c r="P194" s="18" t="s">
        <v>164</v>
      </c>
      <c r="Q194" s="103"/>
      <c r="R194" s="97"/>
      <c r="S194" s="97"/>
      <c r="T194" s="97"/>
      <c r="U194" s="113"/>
      <c r="V194" s="18"/>
    </row>
    <row r="195" spans="2:22" x14ac:dyDescent="0.25">
      <c r="B195" s="11" t="s">
        <v>199</v>
      </c>
      <c r="C195"/>
      <c r="D195"/>
      <c r="E195"/>
      <c r="F195"/>
      <c r="G195"/>
      <c r="H195" s="18"/>
      <c r="I195" s="15" t="s">
        <v>148</v>
      </c>
      <c r="J195" s="18"/>
      <c r="K195" s="97"/>
      <c r="L195" s="97"/>
      <c r="M195" s="97"/>
      <c r="N195" s="18"/>
      <c r="O195" s="18"/>
      <c r="P195" s="15" t="s">
        <v>148</v>
      </c>
      <c r="Q195" s="104"/>
      <c r="U195" s="113"/>
      <c r="V195" s="18"/>
    </row>
    <row r="196" spans="2:22" x14ac:dyDescent="0.25">
      <c r="B196" s="11" t="s">
        <v>201</v>
      </c>
      <c r="C196"/>
      <c r="D196"/>
      <c r="E196"/>
      <c r="F196"/>
      <c r="G196"/>
      <c r="H196" s="18"/>
      <c r="I196" s="18" t="s">
        <v>436</v>
      </c>
      <c r="J196" s="18"/>
      <c r="K196" s="97"/>
      <c r="L196" s="97"/>
      <c r="M196" s="97"/>
      <c r="N196" s="18"/>
      <c r="O196" s="18"/>
      <c r="P196" s="18" t="s">
        <v>436</v>
      </c>
      <c r="Q196" s="103"/>
      <c r="R196" s="97"/>
      <c r="S196" s="97"/>
      <c r="T196" s="97"/>
      <c r="U196" s="113"/>
      <c r="V196" s="18"/>
    </row>
    <row r="197" spans="2:22" x14ac:dyDescent="0.25">
      <c r="B197" s="11" t="s">
        <v>202</v>
      </c>
      <c r="C197"/>
      <c r="D197"/>
      <c r="E197"/>
      <c r="F197"/>
      <c r="G197"/>
      <c r="H197" s="18"/>
      <c r="I197" s="18" t="s">
        <v>297</v>
      </c>
      <c r="J197" s="18"/>
      <c r="K197" s="97"/>
      <c r="L197" s="97"/>
      <c r="M197" s="97"/>
      <c r="N197" s="18"/>
      <c r="O197" s="18"/>
      <c r="P197" s="18" t="s">
        <v>297</v>
      </c>
      <c r="Q197" s="103"/>
      <c r="R197" s="97"/>
      <c r="S197" s="97"/>
      <c r="T197" s="97"/>
      <c r="U197" s="113"/>
      <c r="V197" s="18"/>
    </row>
    <row r="198" spans="2:22" x14ac:dyDescent="0.25">
      <c r="B198" s="11" t="s">
        <v>203</v>
      </c>
      <c r="C198"/>
      <c r="D198"/>
      <c r="E198"/>
      <c r="F198"/>
      <c r="G198"/>
      <c r="H198" s="19"/>
      <c r="I198" s="15" t="s">
        <v>183</v>
      </c>
      <c r="J198" s="19"/>
      <c r="K198" s="98"/>
      <c r="L198" s="98"/>
      <c r="M198" s="98"/>
      <c r="N198" s="19"/>
      <c r="O198" s="19"/>
      <c r="P198" s="15" t="s">
        <v>183</v>
      </c>
      <c r="Q198" s="104"/>
      <c r="U198" s="114"/>
      <c r="V198" s="19"/>
    </row>
    <row r="199" spans="2:22" x14ac:dyDescent="0.25">
      <c r="B199" s="15" t="s">
        <v>205</v>
      </c>
      <c r="C199"/>
      <c r="D199"/>
      <c r="E199"/>
      <c r="F199"/>
      <c r="G199"/>
      <c r="H199" s="19"/>
      <c r="I199" s="15" t="s">
        <v>182</v>
      </c>
      <c r="J199" s="19"/>
      <c r="K199" s="98"/>
      <c r="L199" s="98"/>
      <c r="M199" s="98"/>
      <c r="N199" s="19"/>
      <c r="O199" s="19"/>
      <c r="P199" s="15" t="s">
        <v>182</v>
      </c>
      <c r="Q199" s="104"/>
      <c r="U199" s="114"/>
      <c r="V199" s="19"/>
    </row>
    <row r="200" spans="2:22" x14ac:dyDescent="0.25">
      <c r="B200" s="15" t="s">
        <v>204</v>
      </c>
      <c r="C200"/>
      <c r="D200"/>
      <c r="E200"/>
      <c r="F200"/>
      <c r="G200"/>
      <c r="H200" s="19"/>
      <c r="I200" s="15" t="s">
        <v>437</v>
      </c>
      <c r="J200" s="19"/>
      <c r="K200" s="98"/>
      <c r="L200" s="98"/>
      <c r="M200" s="98"/>
      <c r="N200" s="19"/>
      <c r="O200" s="19"/>
      <c r="P200" s="15" t="s">
        <v>437</v>
      </c>
      <c r="Q200" s="104"/>
      <c r="U200" s="114"/>
      <c r="V200" s="19"/>
    </row>
    <row r="201" spans="2:22" x14ac:dyDescent="0.25">
      <c r="B201" s="11" t="s">
        <v>518</v>
      </c>
      <c r="C201"/>
      <c r="D201"/>
      <c r="E201"/>
      <c r="F201"/>
      <c r="G201"/>
    </row>
    <row r="202" spans="2:22" x14ac:dyDescent="0.25">
      <c r="B202" s="11" t="s">
        <v>519</v>
      </c>
      <c r="C202"/>
      <c r="D202"/>
      <c r="E202"/>
      <c r="F202"/>
      <c r="G202"/>
    </row>
    <row r="203" spans="2:22" x14ac:dyDescent="0.25">
      <c r="B203" s="15" t="s">
        <v>183</v>
      </c>
      <c r="C203"/>
      <c r="D203"/>
      <c r="E203"/>
      <c r="F203"/>
      <c r="G203"/>
    </row>
    <row r="204" spans="2:22" x14ac:dyDescent="0.25">
      <c r="B204" s="15" t="s">
        <v>182</v>
      </c>
      <c r="C204"/>
      <c r="D204"/>
      <c r="E204"/>
      <c r="F204"/>
      <c r="G204"/>
    </row>
    <row r="205" spans="2:22" x14ac:dyDescent="0.25">
      <c r="B205" s="15" t="s">
        <v>206</v>
      </c>
      <c r="C205"/>
      <c r="D205"/>
      <c r="E205"/>
      <c r="F205"/>
      <c r="G205"/>
    </row>
    <row r="206" spans="2:22" x14ac:dyDescent="0.25">
      <c r="B206" s="15" t="s">
        <v>207</v>
      </c>
      <c r="C206"/>
      <c r="D206"/>
      <c r="E206"/>
      <c r="F206"/>
      <c r="G206"/>
    </row>
  </sheetData>
  <mergeCells count="30">
    <mergeCell ref="A21:A25"/>
    <mergeCell ref="A1:O1"/>
    <mergeCell ref="A4:A6"/>
    <mergeCell ref="A8:A10"/>
    <mergeCell ref="A11:A17"/>
    <mergeCell ref="A18:A20"/>
    <mergeCell ref="A104:A105"/>
    <mergeCell ref="A26:A28"/>
    <mergeCell ref="A30:A51"/>
    <mergeCell ref="A52:A61"/>
    <mergeCell ref="A62:A76"/>
    <mergeCell ref="A77:A79"/>
    <mergeCell ref="A80:A84"/>
    <mergeCell ref="A85:A86"/>
    <mergeCell ref="A87:A91"/>
    <mergeCell ref="A92:A94"/>
    <mergeCell ref="A95:A96"/>
    <mergeCell ref="A97:A103"/>
    <mergeCell ref="A170:A190"/>
    <mergeCell ref="A106:A110"/>
    <mergeCell ref="A111:A114"/>
    <mergeCell ref="A115:A118"/>
    <mergeCell ref="A119:A128"/>
    <mergeCell ref="A129:A132"/>
    <mergeCell ref="A133:A134"/>
    <mergeCell ref="A135:A137"/>
    <mergeCell ref="A138:A141"/>
    <mergeCell ref="A142:A163"/>
    <mergeCell ref="A164:A166"/>
    <mergeCell ref="A167:A168"/>
  </mergeCells>
  <pageMargins left="0.25" right="0.25" top="0.75" bottom="0.75" header="0.3" footer="0.3"/>
  <pageSetup paperSize="9" scale="90" fitToHeight="0" orientation="landscape" verticalDpi="0" r:id="rId1"/>
  <drawing r:id="rId2"/>
  <legacyDrawing r:id="rId3"/>
  <tableParts count="1">
    <tablePart r:id="rId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08"/>
  <sheetViews>
    <sheetView workbookViewId="0">
      <selection activeCell="T96" sqref="T96"/>
    </sheetView>
  </sheetViews>
  <sheetFormatPr defaultRowHeight="15.75" x14ac:dyDescent="0.25"/>
  <cols>
    <col min="1" max="1" width="13.85546875" style="53" customWidth="1"/>
    <col min="2" max="2" width="44.85546875" style="15" customWidth="1"/>
    <col min="3" max="3" width="13.5703125" style="19" customWidth="1"/>
    <col min="4" max="4" width="14.7109375" style="257" customWidth="1"/>
    <col min="5" max="5" width="5.42578125" style="15" hidden="1" customWidth="1"/>
    <col min="6" max="6" width="4.42578125" style="15" hidden="1" customWidth="1"/>
    <col min="7" max="7" width="4.85546875" style="15" hidden="1" customWidth="1"/>
    <col min="8" max="8" width="6.42578125" style="6" hidden="1" customWidth="1"/>
    <col min="9" max="9" width="5.85546875" style="20" hidden="1" customWidth="1"/>
    <col min="10" max="10" width="6.7109375" style="20" hidden="1" customWidth="1"/>
    <col min="11" max="12" width="10.140625" style="96" hidden="1" customWidth="1"/>
    <col min="13" max="13" width="9.140625" style="96" hidden="1" customWidth="1"/>
    <col min="14" max="14" width="10.5703125" style="58" hidden="1" customWidth="1"/>
    <col min="15" max="15" width="10.85546875" style="58" hidden="1" customWidth="1"/>
    <col min="16" max="16" width="11.42578125" style="58" hidden="1" customWidth="1"/>
    <col min="17" max="17" width="8.7109375" style="109" customWidth="1"/>
    <col min="18" max="18" width="8.140625" style="109" customWidth="1"/>
    <col min="19" max="19" width="8.85546875" style="109" customWidth="1"/>
    <col min="20" max="20" width="8" style="112" customWidth="1"/>
    <col min="21" max="21" width="10.7109375" style="15" hidden="1" customWidth="1"/>
    <col min="22" max="22" width="11.85546875" style="15" hidden="1" customWidth="1"/>
    <col min="23" max="23" width="9.140625" style="87" hidden="1" customWidth="1"/>
    <col min="24" max="24" width="8.28515625" style="243" customWidth="1"/>
    <col min="25" max="25" width="8.140625" style="274" customWidth="1"/>
    <col min="26" max="26" width="9.7109375" style="112" customWidth="1"/>
    <col min="27" max="16384" width="9.140625" style="15"/>
  </cols>
  <sheetData>
    <row r="1" spans="1:26" ht="87" customHeight="1" x14ac:dyDescent="0.2">
      <c r="A1" s="712"/>
      <c r="B1" s="712"/>
      <c r="C1" s="712"/>
      <c r="D1" s="712"/>
      <c r="E1" s="712"/>
      <c r="F1" s="712"/>
      <c r="G1" s="712"/>
      <c r="H1" s="712"/>
      <c r="I1" s="712"/>
      <c r="J1" s="712"/>
      <c r="K1" s="712"/>
      <c r="L1" s="712"/>
      <c r="M1" s="712"/>
      <c r="N1" s="712"/>
      <c r="O1" s="712"/>
      <c r="T1" s="255" t="s">
        <v>537</v>
      </c>
      <c r="U1" s="254"/>
      <c r="V1" s="254"/>
      <c r="W1" s="254"/>
      <c r="X1" s="254"/>
      <c r="Y1" s="270"/>
      <c r="Z1" s="254"/>
    </row>
    <row r="2" spans="1:26" ht="26.25" customHeight="1" x14ac:dyDescent="0.25">
      <c r="A2" s="53" t="s">
        <v>439</v>
      </c>
      <c r="B2" s="57" t="s">
        <v>543</v>
      </c>
      <c r="C2" s="57"/>
      <c r="E2" s="57"/>
      <c r="F2" s="57"/>
      <c r="G2" s="57"/>
      <c r="H2" s="57"/>
      <c r="I2" s="57"/>
      <c r="J2" s="57"/>
      <c r="K2" s="91"/>
      <c r="L2" s="91"/>
      <c r="M2" s="91"/>
      <c r="N2" s="57"/>
      <c r="O2" s="57"/>
      <c r="Q2" s="66"/>
      <c r="U2" s="254"/>
      <c r="V2" s="254"/>
      <c r="W2" s="254"/>
      <c r="X2" s="254"/>
      <c r="Y2" s="270"/>
      <c r="Z2" s="254"/>
    </row>
    <row r="3" spans="1:26" ht="81" customHeight="1" x14ac:dyDescent="0.25">
      <c r="A3" s="54" t="s">
        <v>133</v>
      </c>
      <c r="B3" s="21" t="s">
        <v>16</v>
      </c>
      <c r="C3" s="17" t="s">
        <v>43</v>
      </c>
      <c r="D3" s="258" t="s">
        <v>298</v>
      </c>
      <c r="E3" s="22" t="s">
        <v>18</v>
      </c>
      <c r="F3" s="23" t="s">
        <v>19</v>
      </c>
      <c r="G3" s="23" t="s">
        <v>20</v>
      </c>
      <c r="H3" s="12" t="s">
        <v>17</v>
      </c>
      <c r="I3" s="24" t="s">
        <v>45</v>
      </c>
      <c r="J3" s="25" t="s">
        <v>46</v>
      </c>
      <c r="K3" s="92" t="s">
        <v>451</v>
      </c>
      <c r="L3" s="92" t="s">
        <v>452</v>
      </c>
      <c r="M3" s="92" t="s">
        <v>453</v>
      </c>
      <c r="N3" s="59" t="s">
        <v>454</v>
      </c>
      <c r="O3" s="59" t="s">
        <v>438</v>
      </c>
      <c r="P3" s="60" t="s">
        <v>368</v>
      </c>
      <c r="Q3" s="225" t="s">
        <v>520</v>
      </c>
      <c r="R3" s="225" t="s">
        <v>523</v>
      </c>
      <c r="S3" s="226" t="s">
        <v>522</v>
      </c>
      <c r="T3" s="227" t="s">
        <v>521</v>
      </c>
      <c r="U3" s="74" t="s">
        <v>440</v>
      </c>
      <c r="V3" s="78" t="s">
        <v>441</v>
      </c>
      <c r="W3" s="88" t="s">
        <v>442</v>
      </c>
      <c r="X3" s="248" t="s">
        <v>532</v>
      </c>
      <c r="Y3" s="271" t="s">
        <v>533</v>
      </c>
      <c r="Z3" s="253" t="s">
        <v>536</v>
      </c>
    </row>
    <row r="4" spans="1:26" s="26" customFormat="1" ht="12.75" x14ac:dyDescent="0.2">
      <c r="A4" s="713" t="s">
        <v>150</v>
      </c>
      <c r="B4" s="48" t="s">
        <v>21</v>
      </c>
      <c r="C4" s="49" t="s">
        <v>12</v>
      </c>
      <c r="D4" s="259"/>
      <c r="E4" s="5">
        <v>11</v>
      </c>
      <c r="F4" s="5">
        <v>0.09</v>
      </c>
      <c r="G4" s="5">
        <v>20</v>
      </c>
      <c r="H4" s="50">
        <v>0</v>
      </c>
      <c r="I4" s="5">
        <f>H4*E4</f>
        <v>0</v>
      </c>
      <c r="J4" s="51">
        <f>F4*H4</f>
        <v>0</v>
      </c>
      <c r="K4" s="93">
        <f t="shared" ref="K4:K69" si="0">N4*1.5</f>
        <v>3750</v>
      </c>
      <c r="L4" s="93">
        <f t="shared" ref="L4:L69" si="1">N4*1.1</f>
        <v>2750</v>
      </c>
      <c r="M4" s="93">
        <f t="shared" ref="M4:M69" si="2">N4*1.05</f>
        <v>2625</v>
      </c>
      <c r="N4" s="64">
        <v>2500</v>
      </c>
      <c r="O4" s="69"/>
      <c r="P4" s="130">
        <f t="shared" ref="P4:P69" si="3">N4-O4</f>
        <v>2500</v>
      </c>
      <c r="Q4" s="218">
        <f t="shared" ref="Q4:Q69" si="4">T4*1.5</f>
        <v>4125</v>
      </c>
      <c r="R4" s="218">
        <f>T4*1.1</f>
        <v>3025.0000000000005</v>
      </c>
      <c r="S4" s="218">
        <f>T4*1.05</f>
        <v>2887.5</v>
      </c>
      <c r="T4" s="111">
        <f>N4*1.1</f>
        <v>2750</v>
      </c>
      <c r="U4" s="108"/>
      <c r="V4" s="79"/>
      <c r="W4" s="86"/>
      <c r="X4" s="244">
        <f t="shared" ref="X4:X69" si="5">T4-Y4</f>
        <v>2750</v>
      </c>
      <c r="Y4" s="272"/>
      <c r="Z4" s="111">
        <f>T4/1.18</f>
        <v>2330.5084745762715</v>
      </c>
    </row>
    <row r="5" spans="1:26" s="26" customFormat="1" ht="12.75" x14ac:dyDescent="0.2">
      <c r="A5" s="713"/>
      <c r="B5" s="48" t="s">
        <v>433</v>
      </c>
      <c r="C5" s="52" t="s">
        <v>92</v>
      </c>
      <c r="D5" s="259"/>
      <c r="E5" s="5"/>
      <c r="F5" s="5"/>
      <c r="G5" s="5"/>
      <c r="H5" s="13"/>
      <c r="I5" s="29"/>
      <c r="J5" s="63"/>
      <c r="K5" s="93">
        <f t="shared" si="0"/>
        <v>10500</v>
      </c>
      <c r="L5" s="93">
        <f t="shared" si="1"/>
        <v>7700.0000000000009</v>
      </c>
      <c r="M5" s="93">
        <f t="shared" si="2"/>
        <v>7350</v>
      </c>
      <c r="N5" s="64">
        <v>7000</v>
      </c>
      <c r="O5" s="69"/>
      <c r="P5" s="132">
        <f>N5-O5</f>
        <v>7000</v>
      </c>
      <c r="Q5" s="218">
        <f t="shared" si="4"/>
        <v>11550.000000000002</v>
      </c>
      <c r="R5" s="218">
        <f t="shared" ref="R5:R70" si="6">T5*1.1</f>
        <v>8470.0000000000018</v>
      </c>
      <c r="S5" s="218">
        <f t="shared" ref="S5:S70" si="7">T5*1.05</f>
        <v>8085.0000000000009</v>
      </c>
      <c r="T5" s="111">
        <f>N5*1.1</f>
        <v>7700.0000000000009</v>
      </c>
      <c r="U5" s="108"/>
      <c r="V5" s="79"/>
      <c r="W5" s="86"/>
      <c r="X5" s="244">
        <f t="shared" si="5"/>
        <v>7700.0000000000009</v>
      </c>
      <c r="Y5" s="272"/>
      <c r="Z5" s="111">
        <f t="shared" ref="Z5:Z70" si="8">T5/1.18</f>
        <v>6525.42372881356</v>
      </c>
    </row>
    <row r="6" spans="1:26" ht="13.5" thickBot="1" x14ac:dyDescent="0.25">
      <c r="A6" s="720"/>
      <c r="B6" s="134" t="s">
        <v>434</v>
      </c>
      <c r="C6" s="135" t="s">
        <v>435</v>
      </c>
      <c r="D6" s="275"/>
      <c r="E6" s="136"/>
      <c r="F6" s="136">
        <v>0.17</v>
      </c>
      <c r="G6" s="136"/>
      <c r="H6" s="137">
        <v>0</v>
      </c>
      <c r="I6" s="136">
        <f t="shared" ref="I6:I20" si="9">H6*E6</f>
        <v>0</v>
      </c>
      <c r="J6" s="138">
        <f t="shared" ref="J6:J20" si="10">F6*H6</f>
        <v>0</v>
      </c>
      <c r="K6" s="139">
        <f t="shared" si="0"/>
        <v>7350</v>
      </c>
      <c r="L6" s="139">
        <f t="shared" si="1"/>
        <v>5390</v>
      </c>
      <c r="M6" s="139">
        <f t="shared" si="2"/>
        <v>5145</v>
      </c>
      <c r="N6" s="140">
        <v>4900</v>
      </c>
      <c r="O6" s="141"/>
      <c r="P6" s="142">
        <f t="shared" si="3"/>
        <v>4900</v>
      </c>
      <c r="Q6" s="219">
        <f t="shared" si="4"/>
        <v>8085</v>
      </c>
      <c r="R6" s="219">
        <f t="shared" si="6"/>
        <v>5929.0000000000009</v>
      </c>
      <c r="S6" s="219">
        <f t="shared" si="7"/>
        <v>5659.5</v>
      </c>
      <c r="T6" s="144">
        <f>N6*1.1</f>
        <v>5390</v>
      </c>
      <c r="U6" s="108"/>
      <c r="V6" s="79"/>
      <c r="W6" s="86"/>
      <c r="X6" s="244">
        <f t="shared" si="5"/>
        <v>5390</v>
      </c>
      <c r="Y6" s="272"/>
      <c r="Z6" s="111">
        <f t="shared" si="8"/>
        <v>4567.7966101694919</v>
      </c>
    </row>
    <row r="7" spans="1:26" ht="17.25" thickTop="1" thickBot="1" x14ac:dyDescent="0.3">
      <c r="A7" s="146" t="s">
        <v>151</v>
      </c>
      <c r="B7" s="147" t="s">
        <v>22</v>
      </c>
      <c r="C7" s="148" t="s">
        <v>166</v>
      </c>
      <c r="D7" s="276"/>
      <c r="E7" s="149">
        <v>0</v>
      </c>
      <c r="F7" s="150">
        <v>0</v>
      </c>
      <c r="G7" s="150" t="s">
        <v>23</v>
      </c>
      <c r="H7" s="151">
        <v>0</v>
      </c>
      <c r="I7" s="152">
        <f t="shared" si="9"/>
        <v>0</v>
      </c>
      <c r="J7" s="153">
        <f t="shared" si="10"/>
        <v>0</v>
      </c>
      <c r="K7" s="154">
        <f t="shared" si="0"/>
        <v>720</v>
      </c>
      <c r="L7" s="154">
        <f t="shared" si="1"/>
        <v>528</v>
      </c>
      <c r="M7" s="154">
        <f t="shared" si="2"/>
        <v>504</v>
      </c>
      <c r="N7" s="155">
        <v>480</v>
      </c>
      <c r="O7" s="156"/>
      <c r="P7" s="157">
        <f t="shared" si="3"/>
        <v>480</v>
      </c>
      <c r="Q7" s="220">
        <f t="shared" si="4"/>
        <v>795</v>
      </c>
      <c r="R7" s="220">
        <f t="shared" si="6"/>
        <v>583</v>
      </c>
      <c r="S7" s="220">
        <f t="shared" si="7"/>
        <v>556.5</v>
      </c>
      <c r="T7" s="159">
        <v>530</v>
      </c>
      <c r="U7" s="108"/>
      <c r="V7" s="79"/>
      <c r="W7" s="86"/>
      <c r="X7" s="244">
        <f t="shared" si="5"/>
        <v>530</v>
      </c>
      <c r="Y7" s="272"/>
      <c r="Z7" s="111">
        <f t="shared" si="8"/>
        <v>449.15254237288138</v>
      </c>
    </row>
    <row r="8" spans="1:26" ht="13.5" thickTop="1" x14ac:dyDescent="0.2">
      <c r="A8" s="717" t="s">
        <v>136</v>
      </c>
      <c r="B8" s="160" t="s">
        <v>463</v>
      </c>
      <c r="C8" s="161" t="s">
        <v>355</v>
      </c>
      <c r="D8" s="260"/>
      <c r="E8" s="162">
        <v>15</v>
      </c>
      <c r="F8" s="163">
        <v>3.0000000000000001E-3</v>
      </c>
      <c r="G8" s="163">
        <v>10</v>
      </c>
      <c r="H8" s="164">
        <v>0</v>
      </c>
      <c r="I8" s="165">
        <f t="shared" si="9"/>
        <v>0</v>
      </c>
      <c r="J8" s="166">
        <f t="shared" si="10"/>
        <v>0</v>
      </c>
      <c r="K8" s="167">
        <f t="shared" si="0"/>
        <v>17340</v>
      </c>
      <c r="L8" s="167">
        <f t="shared" si="1"/>
        <v>12716.000000000002</v>
      </c>
      <c r="M8" s="167">
        <f t="shared" si="2"/>
        <v>12138</v>
      </c>
      <c r="N8" s="168">
        <v>11560</v>
      </c>
      <c r="O8" s="169"/>
      <c r="P8" s="170">
        <f t="shared" si="3"/>
        <v>11560</v>
      </c>
      <c r="Q8" s="221">
        <f t="shared" si="4"/>
        <v>19080</v>
      </c>
      <c r="R8" s="221">
        <f t="shared" si="6"/>
        <v>13992.000000000002</v>
      </c>
      <c r="S8" s="221">
        <f t="shared" si="7"/>
        <v>13356</v>
      </c>
      <c r="T8" s="172">
        <v>12720</v>
      </c>
      <c r="U8" s="108"/>
      <c r="V8" s="79"/>
      <c r="W8" s="86"/>
      <c r="X8" s="244">
        <f t="shared" si="5"/>
        <v>12720</v>
      </c>
      <c r="Y8" s="272"/>
      <c r="Z8" s="111">
        <f t="shared" si="8"/>
        <v>10779.661016949152</v>
      </c>
    </row>
    <row r="9" spans="1:26" ht="12.75" x14ac:dyDescent="0.2">
      <c r="A9" s="710"/>
      <c r="B9" s="14" t="s">
        <v>464</v>
      </c>
      <c r="C9" s="7" t="s">
        <v>82</v>
      </c>
      <c r="D9" s="277"/>
      <c r="E9" s="5">
        <v>25.5</v>
      </c>
      <c r="F9" s="3">
        <v>0.2</v>
      </c>
      <c r="G9" s="3">
        <v>6</v>
      </c>
      <c r="H9" s="13">
        <v>0</v>
      </c>
      <c r="I9" s="29">
        <f t="shared" si="9"/>
        <v>0</v>
      </c>
      <c r="J9" s="30">
        <f t="shared" si="10"/>
        <v>0</v>
      </c>
      <c r="K9" s="93">
        <f t="shared" si="0"/>
        <v>13200</v>
      </c>
      <c r="L9" s="93">
        <f t="shared" si="1"/>
        <v>9680</v>
      </c>
      <c r="M9" s="93">
        <f t="shared" si="2"/>
        <v>9240</v>
      </c>
      <c r="N9" s="64">
        <v>8800</v>
      </c>
      <c r="O9" s="69"/>
      <c r="P9" s="132">
        <f t="shared" si="3"/>
        <v>8800</v>
      </c>
      <c r="Q9" s="218">
        <f t="shared" si="4"/>
        <v>15180</v>
      </c>
      <c r="R9" s="218">
        <f t="shared" si="6"/>
        <v>11132</v>
      </c>
      <c r="S9" s="218">
        <f t="shared" si="7"/>
        <v>10626</v>
      </c>
      <c r="T9" s="111">
        <v>10120</v>
      </c>
      <c r="U9" s="108"/>
      <c r="V9" s="79"/>
      <c r="W9" s="86"/>
      <c r="X9" s="244">
        <f t="shared" si="5"/>
        <v>10120</v>
      </c>
      <c r="Y9" s="272"/>
      <c r="Z9" s="111">
        <f t="shared" si="8"/>
        <v>8576.2711864406792</v>
      </c>
    </row>
    <row r="10" spans="1:26" ht="23.25" thickBot="1" x14ac:dyDescent="0.25">
      <c r="A10" s="718"/>
      <c r="B10" s="173" t="s">
        <v>465</v>
      </c>
      <c r="C10" s="174" t="s">
        <v>96</v>
      </c>
      <c r="D10" s="256" t="s">
        <v>542</v>
      </c>
      <c r="E10" s="176">
        <v>37.5</v>
      </c>
      <c r="F10" s="176">
        <v>0.25</v>
      </c>
      <c r="G10" s="177"/>
      <c r="H10" s="178">
        <v>0</v>
      </c>
      <c r="I10" s="179">
        <f t="shared" si="9"/>
        <v>0</v>
      </c>
      <c r="J10" s="180">
        <f t="shared" si="10"/>
        <v>0</v>
      </c>
      <c r="K10" s="139">
        <f t="shared" si="0"/>
        <v>24750</v>
      </c>
      <c r="L10" s="139">
        <f t="shared" si="1"/>
        <v>18150</v>
      </c>
      <c r="M10" s="139">
        <f t="shared" si="2"/>
        <v>17325</v>
      </c>
      <c r="N10" s="140">
        <v>16500</v>
      </c>
      <c r="O10" s="141">
        <v>12553.2</v>
      </c>
      <c r="P10" s="142">
        <f t="shared" si="3"/>
        <v>3946.7999999999993</v>
      </c>
      <c r="Q10" s="219">
        <f t="shared" si="4"/>
        <v>28462.5</v>
      </c>
      <c r="R10" s="219">
        <f t="shared" si="6"/>
        <v>20872.5</v>
      </c>
      <c r="S10" s="219">
        <f t="shared" si="7"/>
        <v>19923.75</v>
      </c>
      <c r="T10" s="144">
        <v>18975</v>
      </c>
      <c r="U10" s="108">
        <f>O10*1.1</f>
        <v>13808.520000000002</v>
      </c>
      <c r="V10" s="79">
        <f>T10-U10</f>
        <v>5166.4799999999977</v>
      </c>
      <c r="W10" s="86">
        <v>4030</v>
      </c>
      <c r="X10" s="244">
        <f t="shared" si="5"/>
        <v>13736</v>
      </c>
      <c r="Y10" s="272">
        <v>5239</v>
      </c>
      <c r="Z10" s="111">
        <f t="shared" si="8"/>
        <v>16080.508474576272</v>
      </c>
    </row>
    <row r="11" spans="1:26" ht="13.5" thickTop="1" x14ac:dyDescent="0.2">
      <c r="A11" s="717" t="s">
        <v>135</v>
      </c>
      <c r="B11" s="160" t="s">
        <v>466</v>
      </c>
      <c r="C11" s="181" t="s">
        <v>81</v>
      </c>
      <c r="D11" s="278"/>
      <c r="E11" s="162">
        <v>32</v>
      </c>
      <c r="F11" s="163">
        <v>0.25</v>
      </c>
      <c r="G11" s="163">
        <v>6</v>
      </c>
      <c r="H11" s="164">
        <v>0</v>
      </c>
      <c r="I11" s="165">
        <f t="shared" si="9"/>
        <v>0</v>
      </c>
      <c r="J11" s="166">
        <f t="shared" si="10"/>
        <v>0</v>
      </c>
      <c r="K11" s="167">
        <f t="shared" si="0"/>
        <v>7650</v>
      </c>
      <c r="L11" s="167">
        <f t="shared" si="1"/>
        <v>5610</v>
      </c>
      <c r="M11" s="167">
        <f t="shared" si="2"/>
        <v>5355</v>
      </c>
      <c r="N11" s="168">
        <v>5100</v>
      </c>
      <c r="O11" s="169"/>
      <c r="P11" s="170">
        <f t="shared" si="3"/>
        <v>5100</v>
      </c>
      <c r="Q11" s="221">
        <f t="shared" si="4"/>
        <v>8415</v>
      </c>
      <c r="R11" s="221">
        <f t="shared" si="6"/>
        <v>6171.0000000000009</v>
      </c>
      <c r="S11" s="221">
        <f t="shared" si="7"/>
        <v>5890.5</v>
      </c>
      <c r="T11" s="172">
        <f t="shared" ref="T11:T20" si="11">N11*1.1</f>
        <v>5610</v>
      </c>
      <c r="U11" s="108"/>
      <c r="V11" s="79"/>
      <c r="W11" s="86"/>
      <c r="X11" s="244">
        <f t="shared" si="5"/>
        <v>5610</v>
      </c>
      <c r="Y11" s="272"/>
      <c r="Z11" s="111">
        <f t="shared" si="8"/>
        <v>4754.2372881355932</v>
      </c>
    </row>
    <row r="12" spans="1:26" ht="12.75" x14ac:dyDescent="0.2">
      <c r="A12" s="710"/>
      <c r="B12" s="14" t="s">
        <v>467</v>
      </c>
      <c r="C12" s="7" t="s">
        <v>92</v>
      </c>
      <c r="D12" s="261" t="s">
        <v>281</v>
      </c>
      <c r="E12" s="5">
        <v>17.5</v>
      </c>
      <c r="F12" s="3">
        <v>0.16</v>
      </c>
      <c r="G12" s="3"/>
      <c r="H12" s="13">
        <v>0</v>
      </c>
      <c r="I12" s="29">
        <f t="shared" si="9"/>
        <v>0</v>
      </c>
      <c r="J12" s="30">
        <f t="shared" si="10"/>
        <v>0</v>
      </c>
      <c r="K12" s="93">
        <f t="shared" si="0"/>
        <v>8175</v>
      </c>
      <c r="L12" s="93">
        <f t="shared" si="1"/>
        <v>5995.0000000000009</v>
      </c>
      <c r="M12" s="93">
        <f t="shared" si="2"/>
        <v>5722.5</v>
      </c>
      <c r="N12" s="64">
        <v>5450</v>
      </c>
      <c r="O12" s="69">
        <v>2889.9</v>
      </c>
      <c r="P12" s="132">
        <f t="shared" si="3"/>
        <v>2560.1</v>
      </c>
      <c r="Q12" s="218">
        <f t="shared" si="4"/>
        <v>8992.5000000000018</v>
      </c>
      <c r="R12" s="218">
        <f t="shared" si="6"/>
        <v>6594.5000000000018</v>
      </c>
      <c r="S12" s="218">
        <f t="shared" si="7"/>
        <v>6294.7500000000009</v>
      </c>
      <c r="T12" s="111">
        <f t="shared" si="11"/>
        <v>5995.0000000000009</v>
      </c>
      <c r="U12" s="108">
        <f t="shared" ref="U12:U17" si="12">O12*1.1</f>
        <v>3178.8900000000003</v>
      </c>
      <c r="V12" s="79">
        <f t="shared" ref="V12:V17" si="13">T12-U12</f>
        <v>2816.1100000000006</v>
      </c>
      <c r="W12" s="86">
        <v>2293</v>
      </c>
      <c r="X12" s="244">
        <f t="shared" si="5"/>
        <v>3112.0000000000009</v>
      </c>
      <c r="Y12" s="272">
        <v>2883</v>
      </c>
      <c r="Z12" s="111">
        <f t="shared" si="8"/>
        <v>5080.5084745762724</v>
      </c>
    </row>
    <row r="13" spans="1:26" ht="12.75" x14ac:dyDescent="0.2">
      <c r="A13" s="710"/>
      <c r="B13" s="14" t="s">
        <v>468</v>
      </c>
      <c r="C13" s="7" t="s">
        <v>92</v>
      </c>
      <c r="D13" s="261" t="s">
        <v>281</v>
      </c>
      <c r="E13" s="5">
        <v>17.5</v>
      </c>
      <c r="F13" s="3">
        <v>0.16</v>
      </c>
      <c r="G13" s="3"/>
      <c r="H13" s="13">
        <v>0</v>
      </c>
      <c r="I13" s="29">
        <f t="shared" si="9"/>
        <v>0</v>
      </c>
      <c r="J13" s="30">
        <f t="shared" si="10"/>
        <v>0</v>
      </c>
      <c r="K13" s="93">
        <f t="shared" si="0"/>
        <v>8775</v>
      </c>
      <c r="L13" s="93">
        <f t="shared" si="1"/>
        <v>6435.0000000000009</v>
      </c>
      <c r="M13" s="93">
        <f t="shared" si="2"/>
        <v>6142.5</v>
      </c>
      <c r="N13" s="64">
        <v>5850</v>
      </c>
      <c r="O13" s="69">
        <v>3289.9</v>
      </c>
      <c r="P13" s="132">
        <f t="shared" si="3"/>
        <v>2560.1</v>
      </c>
      <c r="Q13" s="218">
        <f t="shared" si="4"/>
        <v>9652.5000000000018</v>
      </c>
      <c r="R13" s="218">
        <f t="shared" si="6"/>
        <v>7078.5000000000018</v>
      </c>
      <c r="S13" s="218">
        <f t="shared" si="7"/>
        <v>6756.7500000000009</v>
      </c>
      <c r="T13" s="111">
        <f t="shared" si="11"/>
        <v>6435.0000000000009</v>
      </c>
      <c r="U13" s="108">
        <f t="shared" si="12"/>
        <v>3618.8900000000003</v>
      </c>
      <c r="V13" s="79">
        <f t="shared" si="13"/>
        <v>2816.1100000000006</v>
      </c>
      <c r="W13" s="86">
        <v>2293</v>
      </c>
      <c r="X13" s="244">
        <f t="shared" si="5"/>
        <v>3552.0000000000009</v>
      </c>
      <c r="Y13" s="272">
        <v>2883</v>
      </c>
      <c r="Z13" s="111">
        <f t="shared" si="8"/>
        <v>5453.3898305084758</v>
      </c>
    </row>
    <row r="14" spans="1:26" ht="12.75" x14ac:dyDescent="0.2">
      <c r="A14" s="710"/>
      <c r="B14" s="14" t="s">
        <v>469</v>
      </c>
      <c r="C14" s="7" t="s">
        <v>94</v>
      </c>
      <c r="D14" s="261" t="s">
        <v>282</v>
      </c>
      <c r="E14" s="5">
        <v>19</v>
      </c>
      <c r="F14" s="3">
        <v>0.19</v>
      </c>
      <c r="G14" s="3"/>
      <c r="H14" s="13">
        <v>0</v>
      </c>
      <c r="I14" s="29">
        <f t="shared" si="9"/>
        <v>0</v>
      </c>
      <c r="J14" s="30">
        <f t="shared" si="10"/>
        <v>0</v>
      </c>
      <c r="K14" s="93">
        <f t="shared" si="0"/>
        <v>9150</v>
      </c>
      <c r="L14" s="93">
        <f t="shared" si="1"/>
        <v>6710.0000000000009</v>
      </c>
      <c r="M14" s="93">
        <f t="shared" si="2"/>
        <v>6405</v>
      </c>
      <c r="N14" s="64">
        <v>6100</v>
      </c>
      <c r="O14" s="69">
        <v>3030.1439999999998</v>
      </c>
      <c r="P14" s="132">
        <f t="shared" si="3"/>
        <v>3069.8560000000002</v>
      </c>
      <c r="Q14" s="218">
        <f t="shared" si="4"/>
        <v>10065.000000000002</v>
      </c>
      <c r="R14" s="218">
        <f t="shared" si="6"/>
        <v>7381.0000000000018</v>
      </c>
      <c r="S14" s="218">
        <f t="shared" si="7"/>
        <v>7045.5000000000009</v>
      </c>
      <c r="T14" s="111">
        <f t="shared" si="11"/>
        <v>6710.0000000000009</v>
      </c>
      <c r="U14" s="108">
        <f t="shared" si="12"/>
        <v>3333.1583999999998</v>
      </c>
      <c r="V14" s="79">
        <f t="shared" si="13"/>
        <v>3376.8416000000011</v>
      </c>
      <c r="W14" s="86">
        <v>2736</v>
      </c>
      <c r="X14" s="244">
        <f t="shared" si="5"/>
        <v>3270.0000000000009</v>
      </c>
      <c r="Y14" s="272">
        <v>3440</v>
      </c>
      <c r="Z14" s="111">
        <f t="shared" si="8"/>
        <v>5686.4406779661031</v>
      </c>
    </row>
    <row r="15" spans="1:26" ht="12.75" x14ac:dyDescent="0.2">
      <c r="A15" s="710"/>
      <c r="B15" s="14" t="s">
        <v>470</v>
      </c>
      <c r="C15" s="7" t="s">
        <v>94</v>
      </c>
      <c r="D15" s="261" t="s">
        <v>282</v>
      </c>
      <c r="E15" s="5">
        <v>19</v>
      </c>
      <c r="F15" s="3">
        <v>0.19</v>
      </c>
      <c r="G15" s="3"/>
      <c r="H15" s="13">
        <v>0</v>
      </c>
      <c r="I15" s="29">
        <f t="shared" si="9"/>
        <v>0</v>
      </c>
      <c r="J15" s="30">
        <f t="shared" si="10"/>
        <v>0</v>
      </c>
      <c r="K15" s="93">
        <f t="shared" si="0"/>
        <v>9750</v>
      </c>
      <c r="L15" s="93">
        <f t="shared" si="1"/>
        <v>7150.0000000000009</v>
      </c>
      <c r="M15" s="93">
        <f t="shared" si="2"/>
        <v>6825</v>
      </c>
      <c r="N15" s="64">
        <v>6500</v>
      </c>
      <c r="O15" s="69">
        <v>3430.1439999999998</v>
      </c>
      <c r="P15" s="132">
        <f t="shared" si="3"/>
        <v>3069.8560000000002</v>
      </c>
      <c r="Q15" s="218">
        <f t="shared" si="4"/>
        <v>10725.000000000002</v>
      </c>
      <c r="R15" s="218">
        <f t="shared" si="6"/>
        <v>7865.0000000000018</v>
      </c>
      <c r="S15" s="218">
        <f t="shared" si="7"/>
        <v>7507.5000000000009</v>
      </c>
      <c r="T15" s="111">
        <f t="shared" si="11"/>
        <v>7150.0000000000009</v>
      </c>
      <c r="U15" s="108">
        <f t="shared" si="12"/>
        <v>3773.1584000000003</v>
      </c>
      <c r="V15" s="79">
        <f t="shared" si="13"/>
        <v>3376.8416000000007</v>
      </c>
      <c r="W15" s="86">
        <v>2736</v>
      </c>
      <c r="X15" s="244">
        <f t="shared" si="5"/>
        <v>3710.0000000000009</v>
      </c>
      <c r="Y15" s="272">
        <v>3440</v>
      </c>
      <c r="Z15" s="111">
        <f t="shared" si="8"/>
        <v>6059.3220338983065</v>
      </c>
    </row>
    <row r="16" spans="1:26" ht="12.75" x14ac:dyDescent="0.2">
      <c r="A16" s="710"/>
      <c r="B16" s="14" t="s">
        <v>471</v>
      </c>
      <c r="C16" s="7" t="s">
        <v>95</v>
      </c>
      <c r="D16" s="261" t="s">
        <v>283</v>
      </c>
      <c r="E16" s="5">
        <v>21</v>
      </c>
      <c r="F16" s="3">
        <v>0.2</v>
      </c>
      <c r="G16" s="3"/>
      <c r="H16" s="13">
        <v>0</v>
      </c>
      <c r="I16" s="29">
        <f t="shared" si="9"/>
        <v>0</v>
      </c>
      <c r="J16" s="30">
        <f t="shared" si="10"/>
        <v>0</v>
      </c>
      <c r="K16" s="93">
        <f t="shared" si="0"/>
        <v>11250</v>
      </c>
      <c r="L16" s="93">
        <f t="shared" si="1"/>
        <v>8250</v>
      </c>
      <c r="M16" s="93">
        <f t="shared" si="2"/>
        <v>7875</v>
      </c>
      <c r="N16" s="64">
        <v>7500</v>
      </c>
      <c r="O16" s="69">
        <v>3556.7</v>
      </c>
      <c r="P16" s="132">
        <f t="shared" si="3"/>
        <v>3943.3</v>
      </c>
      <c r="Q16" s="218">
        <f t="shared" si="4"/>
        <v>12375</v>
      </c>
      <c r="R16" s="218">
        <f t="shared" si="6"/>
        <v>9075</v>
      </c>
      <c r="S16" s="218">
        <f t="shared" si="7"/>
        <v>8662.5</v>
      </c>
      <c r="T16" s="111">
        <f t="shared" si="11"/>
        <v>8250</v>
      </c>
      <c r="U16" s="108">
        <f t="shared" si="12"/>
        <v>3912.37</v>
      </c>
      <c r="V16" s="79">
        <f t="shared" si="13"/>
        <v>4337.63</v>
      </c>
      <c r="W16" s="86">
        <v>3429</v>
      </c>
      <c r="X16" s="244">
        <f t="shared" si="5"/>
        <v>3937</v>
      </c>
      <c r="Y16" s="272">
        <v>4313</v>
      </c>
      <c r="Z16" s="111">
        <f t="shared" si="8"/>
        <v>6991.5254237288136</v>
      </c>
    </row>
    <row r="17" spans="1:26" ht="13.5" thickBot="1" x14ac:dyDescent="0.25">
      <c r="A17" s="718"/>
      <c r="B17" s="173" t="s">
        <v>472</v>
      </c>
      <c r="C17" s="174" t="s">
        <v>95</v>
      </c>
      <c r="D17" s="256" t="s">
        <v>283</v>
      </c>
      <c r="E17" s="136">
        <v>21</v>
      </c>
      <c r="F17" s="176">
        <v>0.2</v>
      </c>
      <c r="G17" s="176"/>
      <c r="H17" s="178">
        <v>0</v>
      </c>
      <c r="I17" s="179">
        <f t="shared" si="9"/>
        <v>0</v>
      </c>
      <c r="J17" s="180">
        <f t="shared" si="10"/>
        <v>0</v>
      </c>
      <c r="K17" s="139">
        <f t="shared" si="0"/>
        <v>11850</v>
      </c>
      <c r="L17" s="139">
        <f t="shared" si="1"/>
        <v>8690</v>
      </c>
      <c r="M17" s="139">
        <f t="shared" si="2"/>
        <v>8295</v>
      </c>
      <c r="N17" s="140">
        <v>7900</v>
      </c>
      <c r="O17" s="141">
        <v>3956.7</v>
      </c>
      <c r="P17" s="142">
        <f t="shared" si="3"/>
        <v>3943.3</v>
      </c>
      <c r="Q17" s="219">
        <f t="shared" si="4"/>
        <v>13035</v>
      </c>
      <c r="R17" s="219">
        <f t="shared" si="6"/>
        <v>9559</v>
      </c>
      <c r="S17" s="219">
        <f t="shared" si="7"/>
        <v>9124.5</v>
      </c>
      <c r="T17" s="144">
        <f t="shared" si="11"/>
        <v>8690</v>
      </c>
      <c r="U17" s="108">
        <f t="shared" si="12"/>
        <v>4352.37</v>
      </c>
      <c r="V17" s="79">
        <f t="shared" si="13"/>
        <v>4337.63</v>
      </c>
      <c r="W17" s="86">
        <v>3429</v>
      </c>
      <c r="X17" s="244">
        <f t="shared" si="5"/>
        <v>4377</v>
      </c>
      <c r="Y17" s="272">
        <v>4313</v>
      </c>
      <c r="Z17" s="111">
        <f t="shared" si="8"/>
        <v>7364.406779661017</v>
      </c>
    </row>
    <row r="18" spans="1:26" ht="13.5" thickTop="1" x14ac:dyDescent="0.2">
      <c r="A18" s="717" t="s">
        <v>149</v>
      </c>
      <c r="B18" s="160" t="s">
        <v>24</v>
      </c>
      <c r="C18" s="161" t="s">
        <v>6</v>
      </c>
      <c r="D18" s="260"/>
      <c r="E18" s="162">
        <v>12.5</v>
      </c>
      <c r="F18" s="163">
        <v>9.5000000000000001E-2</v>
      </c>
      <c r="G18" s="163">
        <v>10</v>
      </c>
      <c r="H18" s="164">
        <v>0</v>
      </c>
      <c r="I18" s="165">
        <f t="shared" si="9"/>
        <v>0</v>
      </c>
      <c r="J18" s="166">
        <f t="shared" si="10"/>
        <v>0</v>
      </c>
      <c r="K18" s="167">
        <f t="shared" si="0"/>
        <v>3525</v>
      </c>
      <c r="L18" s="167">
        <f t="shared" si="1"/>
        <v>2585</v>
      </c>
      <c r="M18" s="167">
        <f t="shared" si="2"/>
        <v>2467.5</v>
      </c>
      <c r="N18" s="168">
        <v>2350</v>
      </c>
      <c r="O18" s="169"/>
      <c r="P18" s="170">
        <f t="shared" si="3"/>
        <v>2350</v>
      </c>
      <c r="Q18" s="221">
        <f t="shared" si="4"/>
        <v>3877.5</v>
      </c>
      <c r="R18" s="221">
        <f t="shared" si="6"/>
        <v>2843.5000000000005</v>
      </c>
      <c r="S18" s="221">
        <f t="shared" si="7"/>
        <v>2714.25</v>
      </c>
      <c r="T18" s="172">
        <f t="shared" si="11"/>
        <v>2585</v>
      </c>
      <c r="U18" s="108"/>
      <c r="V18" s="79"/>
      <c r="W18" s="86"/>
      <c r="X18" s="244">
        <f t="shared" si="5"/>
        <v>2585</v>
      </c>
      <c r="Y18" s="272"/>
      <c r="Z18" s="111">
        <f t="shared" si="8"/>
        <v>2190.6779661016949</v>
      </c>
    </row>
    <row r="19" spans="1:26" ht="12.75" x14ac:dyDescent="0.2">
      <c r="A19" s="710"/>
      <c r="B19" s="14" t="s">
        <v>25</v>
      </c>
      <c r="C19" s="8" t="s">
        <v>7</v>
      </c>
      <c r="D19" s="262"/>
      <c r="E19" s="5">
        <v>14.5</v>
      </c>
      <c r="F19" s="3">
        <v>0.09</v>
      </c>
      <c r="G19" s="3">
        <v>10</v>
      </c>
      <c r="H19" s="13">
        <v>0</v>
      </c>
      <c r="I19" s="29">
        <f t="shared" si="9"/>
        <v>0</v>
      </c>
      <c r="J19" s="30">
        <f t="shared" si="10"/>
        <v>0</v>
      </c>
      <c r="K19" s="93">
        <f t="shared" si="0"/>
        <v>3750</v>
      </c>
      <c r="L19" s="93">
        <f t="shared" si="1"/>
        <v>2750</v>
      </c>
      <c r="M19" s="93">
        <f t="shared" si="2"/>
        <v>2625</v>
      </c>
      <c r="N19" s="64">
        <v>2500</v>
      </c>
      <c r="O19" s="69"/>
      <c r="P19" s="132">
        <f t="shared" si="3"/>
        <v>2500</v>
      </c>
      <c r="Q19" s="218">
        <f t="shared" si="4"/>
        <v>4125</v>
      </c>
      <c r="R19" s="218">
        <f t="shared" si="6"/>
        <v>3025.0000000000005</v>
      </c>
      <c r="S19" s="218">
        <f t="shared" si="7"/>
        <v>2887.5</v>
      </c>
      <c r="T19" s="111">
        <f t="shared" si="11"/>
        <v>2750</v>
      </c>
      <c r="U19" s="108"/>
      <c r="V19" s="79"/>
      <c r="W19" s="86"/>
      <c r="X19" s="244">
        <f t="shared" si="5"/>
        <v>2750</v>
      </c>
      <c r="Y19" s="272"/>
      <c r="Z19" s="111">
        <f t="shared" si="8"/>
        <v>2330.5084745762715</v>
      </c>
    </row>
    <row r="20" spans="1:26" ht="13.5" thickBot="1" x14ac:dyDescent="0.25">
      <c r="A20" s="718"/>
      <c r="B20" s="173" t="s">
        <v>26</v>
      </c>
      <c r="C20" s="182" t="s">
        <v>8</v>
      </c>
      <c r="D20" s="263"/>
      <c r="E20" s="136">
        <v>16</v>
      </c>
      <c r="F20" s="176">
        <v>0.12</v>
      </c>
      <c r="G20" s="176">
        <v>10</v>
      </c>
      <c r="H20" s="178">
        <v>0</v>
      </c>
      <c r="I20" s="179">
        <f t="shared" si="9"/>
        <v>0</v>
      </c>
      <c r="J20" s="180">
        <f t="shared" si="10"/>
        <v>0</v>
      </c>
      <c r="K20" s="139">
        <f t="shared" si="0"/>
        <v>4050</v>
      </c>
      <c r="L20" s="139">
        <f t="shared" si="1"/>
        <v>2970.0000000000005</v>
      </c>
      <c r="M20" s="139">
        <f t="shared" si="2"/>
        <v>2835</v>
      </c>
      <c r="N20" s="140">
        <v>2700</v>
      </c>
      <c r="O20" s="141"/>
      <c r="P20" s="142">
        <f t="shared" si="3"/>
        <v>2700</v>
      </c>
      <c r="Q20" s="219">
        <f t="shared" si="4"/>
        <v>4455.0000000000009</v>
      </c>
      <c r="R20" s="219">
        <f t="shared" si="6"/>
        <v>3267.0000000000009</v>
      </c>
      <c r="S20" s="219">
        <f t="shared" si="7"/>
        <v>3118.5000000000005</v>
      </c>
      <c r="T20" s="144">
        <f t="shared" si="11"/>
        <v>2970.0000000000005</v>
      </c>
      <c r="U20" s="108"/>
      <c r="V20" s="79"/>
      <c r="W20" s="86"/>
      <c r="X20" s="244">
        <f t="shared" si="5"/>
        <v>2970.0000000000005</v>
      </c>
      <c r="Y20" s="272"/>
      <c r="Z20" s="111">
        <f t="shared" si="8"/>
        <v>2516.9491525423732</v>
      </c>
    </row>
    <row r="21" spans="1:26" ht="12.75" customHeight="1" thickTop="1" x14ac:dyDescent="0.2">
      <c r="A21" s="724" t="s">
        <v>304</v>
      </c>
      <c r="B21" s="160" t="s">
        <v>473</v>
      </c>
      <c r="C21" s="183" t="s">
        <v>443</v>
      </c>
      <c r="D21" s="278"/>
      <c r="E21" s="184">
        <v>6</v>
      </c>
      <c r="F21" s="163">
        <v>9.5000000000000001E-2</v>
      </c>
      <c r="G21" s="185">
        <v>10</v>
      </c>
      <c r="H21" s="164">
        <v>0</v>
      </c>
      <c r="I21" s="186"/>
      <c r="J21" s="187"/>
      <c r="K21" s="188">
        <f t="shared" si="0"/>
        <v>2250</v>
      </c>
      <c r="L21" s="188">
        <f t="shared" si="1"/>
        <v>1650.0000000000002</v>
      </c>
      <c r="M21" s="188">
        <f t="shared" si="2"/>
        <v>1575</v>
      </c>
      <c r="N21" s="168">
        <v>1500</v>
      </c>
      <c r="O21" s="169"/>
      <c r="P21" s="170">
        <f t="shared" si="3"/>
        <v>1500</v>
      </c>
      <c r="Q21" s="221">
        <f t="shared" si="4"/>
        <v>2625</v>
      </c>
      <c r="R21" s="221">
        <f t="shared" si="6"/>
        <v>1925.0000000000002</v>
      </c>
      <c r="S21" s="221">
        <f t="shared" si="7"/>
        <v>1837.5</v>
      </c>
      <c r="T21" s="172">
        <v>1750</v>
      </c>
      <c r="U21" s="108"/>
      <c r="V21" s="79"/>
      <c r="W21" s="86"/>
      <c r="X21" s="244">
        <f t="shared" si="5"/>
        <v>1750</v>
      </c>
      <c r="Y21" s="272"/>
      <c r="Z21" s="111">
        <f t="shared" si="8"/>
        <v>1483.0508474576272</v>
      </c>
    </row>
    <row r="22" spans="1:26" ht="12.75" customHeight="1" x14ac:dyDescent="0.2">
      <c r="A22" s="715"/>
      <c r="B22" s="14" t="s">
        <v>474</v>
      </c>
      <c r="C22" s="35" t="s">
        <v>447</v>
      </c>
      <c r="D22" s="277"/>
      <c r="E22" s="36"/>
      <c r="F22" s="34"/>
      <c r="G22" s="34"/>
      <c r="H22" s="37"/>
      <c r="I22" s="38"/>
      <c r="J22" s="81"/>
      <c r="K22" s="94">
        <f t="shared" si="0"/>
        <v>6300</v>
      </c>
      <c r="L22" s="94">
        <f t="shared" si="1"/>
        <v>4620</v>
      </c>
      <c r="M22" s="94">
        <f t="shared" si="2"/>
        <v>4410</v>
      </c>
      <c r="N22" s="82">
        <v>4200</v>
      </c>
      <c r="O22" s="83"/>
      <c r="P22" s="189">
        <f>N22-O22</f>
        <v>4200</v>
      </c>
      <c r="Q22" s="218">
        <f t="shared" si="4"/>
        <v>6930</v>
      </c>
      <c r="R22" s="218">
        <f t="shared" si="6"/>
        <v>5082</v>
      </c>
      <c r="S22" s="218">
        <f t="shared" si="7"/>
        <v>4851</v>
      </c>
      <c r="T22" s="111">
        <f>N22*1.1</f>
        <v>4620</v>
      </c>
      <c r="U22" s="108">
        <f>O22*1.1</f>
        <v>0</v>
      </c>
      <c r="V22" s="89">
        <f>T22-U22</f>
        <v>4620</v>
      </c>
      <c r="W22" s="90"/>
      <c r="X22" s="244">
        <f t="shared" si="5"/>
        <v>4620</v>
      </c>
      <c r="Y22" s="272"/>
      <c r="Z22" s="111">
        <f t="shared" si="8"/>
        <v>3915.2542372881358</v>
      </c>
    </row>
    <row r="23" spans="1:26" ht="12.75" customHeight="1" x14ac:dyDescent="0.2">
      <c r="A23" s="715"/>
      <c r="B23" s="14" t="s">
        <v>475</v>
      </c>
      <c r="C23" s="35" t="s">
        <v>84</v>
      </c>
      <c r="D23" s="277"/>
      <c r="E23" s="36">
        <v>34</v>
      </c>
      <c r="F23" s="34">
        <v>0.2</v>
      </c>
      <c r="G23" s="34">
        <v>6</v>
      </c>
      <c r="H23" s="13">
        <v>0</v>
      </c>
      <c r="I23" s="29">
        <f>H23*E23</f>
        <v>0</v>
      </c>
      <c r="J23" s="30">
        <f>F23*H23</f>
        <v>0</v>
      </c>
      <c r="K23" s="93">
        <f t="shared" si="0"/>
        <v>9450</v>
      </c>
      <c r="L23" s="93">
        <f t="shared" si="1"/>
        <v>6930.0000000000009</v>
      </c>
      <c r="M23" s="93">
        <f t="shared" si="2"/>
        <v>6615</v>
      </c>
      <c r="N23" s="64">
        <v>6300</v>
      </c>
      <c r="O23" s="69"/>
      <c r="P23" s="132">
        <f t="shared" si="3"/>
        <v>6300</v>
      </c>
      <c r="Q23" s="218">
        <f t="shared" si="4"/>
        <v>10395.000000000002</v>
      </c>
      <c r="R23" s="218">
        <f t="shared" si="6"/>
        <v>7623.0000000000018</v>
      </c>
      <c r="S23" s="218">
        <f t="shared" si="7"/>
        <v>7276.5000000000009</v>
      </c>
      <c r="T23" s="111">
        <f>N23*1.1</f>
        <v>6930.0000000000009</v>
      </c>
      <c r="U23" s="108"/>
      <c r="V23" s="79"/>
      <c r="W23" s="86"/>
      <c r="X23" s="244">
        <f t="shared" si="5"/>
        <v>6930.0000000000009</v>
      </c>
      <c r="Y23" s="272"/>
      <c r="Z23" s="111">
        <f t="shared" si="8"/>
        <v>5872.8813559322043</v>
      </c>
    </row>
    <row r="24" spans="1:26" ht="12.75" customHeight="1" x14ac:dyDescent="0.2">
      <c r="A24" s="715"/>
      <c r="B24" s="14" t="s">
        <v>476</v>
      </c>
      <c r="C24" s="7" t="s">
        <v>305</v>
      </c>
      <c r="D24" s="259" t="s">
        <v>534</v>
      </c>
      <c r="E24" s="36">
        <v>16.2</v>
      </c>
      <c r="F24" s="34">
        <v>0.2</v>
      </c>
      <c r="G24" s="34"/>
      <c r="H24" s="13">
        <v>0</v>
      </c>
      <c r="I24" s="29">
        <f t="shared" ref="I24:I89" si="14">H24*E24</f>
        <v>0</v>
      </c>
      <c r="J24" s="30">
        <f t="shared" ref="J24:J89" si="15">F24*H24</f>
        <v>0</v>
      </c>
      <c r="K24" s="93">
        <f t="shared" si="0"/>
        <v>7125</v>
      </c>
      <c r="L24" s="93">
        <f t="shared" si="1"/>
        <v>5225</v>
      </c>
      <c r="M24" s="93">
        <f t="shared" si="2"/>
        <v>4987.5</v>
      </c>
      <c r="N24" s="64">
        <v>4750</v>
      </c>
      <c r="O24" s="69">
        <v>3630</v>
      </c>
      <c r="P24" s="132">
        <f t="shared" si="3"/>
        <v>1120</v>
      </c>
      <c r="Q24" s="218">
        <f t="shared" si="4"/>
        <v>8250</v>
      </c>
      <c r="R24" s="218">
        <f t="shared" si="6"/>
        <v>6050.0000000000009</v>
      </c>
      <c r="S24" s="218">
        <f t="shared" si="7"/>
        <v>5775</v>
      </c>
      <c r="T24" s="111">
        <v>5500</v>
      </c>
      <c r="U24" s="108">
        <f>O24*1.1</f>
        <v>3993.0000000000005</v>
      </c>
      <c r="V24" s="79">
        <f>T24-U24</f>
        <v>1506.9999999999995</v>
      </c>
      <c r="W24" s="86">
        <v>725</v>
      </c>
      <c r="X24" s="244">
        <f t="shared" si="5"/>
        <v>4414</v>
      </c>
      <c r="Y24" s="272">
        <v>1086</v>
      </c>
      <c r="Z24" s="111">
        <f t="shared" si="8"/>
        <v>4661.016949152543</v>
      </c>
    </row>
    <row r="25" spans="1:26" ht="15.75" customHeight="1" thickBot="1" x14ac:dyDescent="0.25">
      <c r="A25" s="725"/>
      <c r="B25" s="173" t="s">
        <v>477</v>
      </c>
      <c r="C25" s="174" t="s">
        <v>449</v>
      </c>
      <c r="D25" s="279" t="s">
        <v>450</v>
      </c>
      <c r="E25" s="192"/>
      <c r="F25" s="177"/>
      <c r="G25" s="177"/>
      <c r="H25" s="193"/>
      <c r="I25" s="194"/>
      <c r="J25" s="195"/>
      <c r="K25" s="196">
        <f t="shared" si="0"/>
        <v>14250</v>
      </c>
      <c r="L25" s="196">
        <f t="shared" si="1"/>
        <v>10450</v>
      </c>
      <c r="M25" s="196">
        <f t="shared" si="2"/>
        <v>9975</v>
      </c>
      <c r="N25" s="197">
        <v>9500</v>
      </c>
      <c r="O25" s="198"/>
      <c r="P25" s="199">
        <f>N25-O25</f>
        <v>9500</v>
      </c>
      <c r="Q25" s="219">
        <f t="shared" si="4"/>
        <v>15837</v>
      </c>
      <c r="R25" s="219">
        <f t="shared" si="6"/>
        <v>11613.800000000001</v>
      </c>
      <c r="S25" s="219">
        <f t="shared" si="7"/>
        <v>11085.9</v>
      </c>
      <c r="T25" s="144">
        <v>10558</v>
      </c>
      <c r="U25" s="108">
        <f>O25*1.1</f>
        <v>0</v>
      </c>
      <c r="V25" s="89">
        <f>T25-U25</f>
        <v>10558</v>
      </c>
      <c r="W25" s="90"/>
      <c r="X25" s="244">
        <f t="shared" si="5"/>
        <v>8170</v>
      </c>
      <c r="Y25" s="272">
        <v>2388</v>
      </c>
      <c r="Z25" s="111">
        <f t="shared" si="8"/>
        <v>8947.4576271186452</v>
      </c>
    </row>
    <row r="26" spans="1:26" ht="13.5" thickTop="1" x14ac:dyDescent="0.2">
      <c r="A26" s="717" t="s">
        <v>134</v>
      </c>
      <c r="B26" s="160" t="s">
        <v>42</v>
      </c>
      <c r="C26" s="181" t="s">
        <v>61</v>
      </c>
      <c r="D26" s="278"/>
      <c r="E26" s="162">
        <v>7</v>
      </c>
      <c r="F26" s="163"/>
      <c r="G26" s="163"/>
      <c r="H26" s="164">
        <v>0</v>
      </c>
      <c r="I26" s="165">
        <f t="shared" si="14"/>
        <v>0</v>
      </c>
      <c r="J26" s="166">
        <f t="shared" si="15"/>
        <v>0</v>
      </c>
      <c r="K26" s="167">
        <f t="shared" si="0"/>
        <v>2775</v>
      </c>
      <c r="L26" s="167">
        <f t="shared" si="1"/>
        <v>2035.0000000000002</v>
      </c>
      <c r="M26" s="167">
        <f t="shared" si="2"/>
        <v>1942.5</v>
      </c>
      <c r="N26" s="168">
        <v>1850</v>
      </c>
      <c r="O26" s="169"/>
      <c r="P26" s="170">
        <f t="shared" si="3"/>
        <v>1850</v>
      </c>
      <c r="Q26" s="221">
        <f t="shared" si="4"/>
        <v>3202.5</v>
      </c>
      <c r="R26" s="221">
        <f t="shared" si="6"/>
        <v>2348.5</v>
      </c>
      <c r="S26" s="221">
        <f t="shared" si="7"/>
        <v>2241.75</v>
      </c>
      <c r="T26" s="172">
        <v>2135</v>
      </c>
      <c r="U26" s="108"/>
      <c r="V26" s="79"/>
      <c r="W26" s="86"/>
      <c r="X26" s="244">
        <f t="shared" si="5"/>
        <v>2135</v>
      </c>
      <c r="Y26" s="272"/>
      <c r="Z26" s="111">
        <f t="shared" si="8"/>
        <v>1809.3220338983051</v>
      </c>
    </row>
    <row r="27" spans="1:26" ht="12.75" x14ac:dyDescent="0.2">
      <c r="A27" s="710"/>
      <c r="B27" s="14" t="s">
        <v>393</v>
      </c>
      <c r="C27" s="7" t="s">
        <v>80</v>
      </c>
      <c r="D27" s="277"/>
      <c r="E27" s="5">
        <v>32</v>
      </c>
      <c r="F27" s="3">
        <v>0.23</v>
      </c>
      <c r="G27" s="3">
        <v>6</v>
      </c>
      <c r="H27" s="13">
        <v>0</v>
      </c>
      <c r="I27" s="29">
        <f t="shared" si="14"/>
        <v>0</v>
      </c>
      <c r="J27" s="30">
        <f t="shared" si="15"/>
        <v>0</v>
      </c>
      <c r="K27" s="93">
        <f t="shared" si="0"/>
        <v>8775</v>
      </c>
      <c r="L27" s="93">
        <f t="shared" si="1"/>
        <v>6435.0000000000009</v>
      </c>
      <c r="M27" s="93">
        <f t="shared" si="2"/>
        <v>6142.5</v>
      </c>
      <c r="N27" s="64">
        <v>5850</v>
      </c>
      <c r="O27" s="69"/>
      <c r="P27" s="132">
        <f t="shared" si="3"/>
        <v>5850</v>
      </c>
      <c r="Q27" s="218">
        <f t="shared" si="4"/>
        <v>10125</v>
      </c>
      <c r="R27" s="218">
        <f t="shared" si="6"/>
        <v>7425.0000000000009</v>
      </c>
      <c r="S27" s="218">
        <f t="shared" si="7"/>
        <v>7087.5</v>
      </c>
      <c r="T27" s="111">
        <v>6750</v>
      </c>
      <c r="U27" s="108"/>
      <c r="V27" s="79"/>
      <c r="W27" s="86"/>
      <c r="X27" s="244">
        <f t="shared" si="5"/>
        <v>6750</v>
      </c>
      <c r="Y27" s="272"/>
      <c r="Z27" s="111">
        <f t="shared" si="8"/>
        <v>5720.3389830508477</v>
      </c>
    </row>
    <row r="28" spans="1:26" ht="15" customHeight="1" thickBot="1" x14ac:dyDescent="0.25">
      <c r="A28" s="718"/>
      <c r="B28" s="173" t="s">
        <v>341</v>
      </c>
      <c r="C28" s="174" t="s">
        <v>93</v>
      </c>
      <c r="D28" s="256" t="s">
        <v>280</v>
      </c>
      <c r="E28" s="136">
        <v>34.5</v>
      </c>
      <c r="F28" s="176">
        <v>0.2</v>
      </c>
      <c r="G28" s="176"/>
      <c r="H28" s="178">
        <v>0</v>
      </c>
      <c r="I28" s="179">
        <f t="shared" si="14"/>
        <v>0</v>
      </c>
      <c r="J28" s="180">
        <f t="shared" si="15"/>
        <v>0</v>
      </c>
      <c r="K28" s="139">
        <f t="shared" si="0"/>
        <v>11775</v>
      </c>
      <c r="L28" s="139">
        <f t="shared" si="1"/>
        <v>8635</v>
      </c>
      <c r="M28" s="139">
        <f t="shared" si="2"/>
        <v>8242.5</v>
      </c>
      <c r="N28" s="140">
        <v>7850</v>
      </c>
      <c r="O28" s="141">
        <v>5940</v>
      </c>
      <c r="P28" s="142">
        <f t="shared" si="3"/>
        <v>1910</v>
      </c>
      <c r="Q28" s="219">
        <f t="shared" si="4"/>
        <v>13545</v>
      </c>
      <c r="R28" s="219">
        <f t="shared" si="6"/>
        <v>9933</v>
      </c>
      <c r="S28" s="219">
        <f t="shared" si="7"/>
        <v>9481.5</v>
      </c>
      <c r="T28" s="144">
        <v>9030</v>
      </c>
      <c r="U28" s="108">
        <f>O28*1.1</f>
        <v>6534.0000000000009</v>
      </c>
      <c r="V28" s="79">
        <f>T28-U28</f>
        <v>2495.9999999999991</v>
      </c>
      <c r="W28" s="86">
        <v>2076</v>
      </c>
      <c r="X28" s="244">
        <f t="shared" si="5"/>
        <v>7132</v>
      </c>
      <c r="Y28" s="272">
        <v>1898</v>
      </c>
      <c r="Z28" s="111">
        <f t="shared" si="8"/>
        <v>7652.5423728813566</v>
      </c>
    </row>
    <row r="29" spans="1:26" ht="17.25" thickTop="1" thickBot="1" x14ac:dyDescent="0.3">
      <c r="A29" s="146" t="s">
        <v>152</v>
      </c>
      <c r="B29" s="147" t="s">
        <v>27</v>
      </c>
      <c r="C29" s="148" t="s">
        <v>166</v>
      </c>
      <c r="D29" s="276"/>
      <c r="E29" s="149">
        <v>0</v>
      </c>
      <c r="F29" s="150">
        <v>0</v>
      </c>
      <c r="G29" s="150" t="s">
        <v>23</v>
      </c>
      <c r="H29" s="151">
        <v>0</v>
      </c>
      <c r="I29" s="152">
        <f t="shared" si="14"/>
        <v>0</v>
      </c>
      <c r="J29" s="153">
        <f t="shared" si="15"/>
        <v>0</v>
      </c>
      <c r="K29" s="154">
        <f t="shared" si="0"/>
        <v>720</v>
      </c>
      <c r="L29" s="154">
        <f t="shared" si="1"/>
        <v>528</v>
      </c>
      <c r="M29" s="154">
        <f t="shared" si="2"/>
        <v>504</v>
      </c>
      <c r="N29" s="155">
        <v>480</v>
      </c>
      <c r="O29" s="156"/>
      <c r="P29" s="157">
        <f t="shared" si="3"/>
        <v>480</v>
      </c>
      <c r="Q29" s="220">
        <f t="shared" si="4"/>
        <v>795</v>
      </c>
      <c r="R29" s="220">
        <f t="shared" si="6"/>
        <v>583</v>
      </c>
      <c r="S29" s="220">
        <f t="shared" si="7"/>
        <v>556.5</v>
      </c>
      <c r="T29" s="159">
        <v>530</v>
      </c>
      <c r="U29" s="108"/>
      <c r="V29" s="79"/>
      <c r="W29" s="86"/>
      <c r="X29" s="244">
        <f t="shared" si="5"/>
        <v>530</v>
      </c>
      <c r="Y29" s="272"/>
      <c r="Z29" s="111">
        <f t="shared" si="8"/>
        <v>449.15254237288138</v>
      </c>
    </row>
    <row r="30" spans="1:26" ht="13.5" customHeight="1" thickTop="1" x14ac:dyDescent="0.2">
      <c r="A30" s="724" t="s">
        <v>541</v>
      </c>
      <c r="B30" s="160" t="s">
        <v>539</v>
      </c>
      <c r="C30" s="181" t="s">
        <v>62</v>
      </c>
      <c r="D30" s="278"/>
      <c r="E30" s="207">
        <v>16.5</v>
      </c>
      <c r="F30" s="163">
        <v>0.1</v>
      </c>
      <c r="G30" s="163">
        <v>10</v>
      </c>
      <c r="H30" s="164">
        <v>0</v>
      </c>
      <c r="I30" s="165">
        <f>H30*E30</f>
        <v>0</v>
      </c>
      <c r="J30" s="166">
        <f>F30*H30</f>
        <v>0</v>
      </c>
      <c r="K30" s="167">
        <f t="shared" si="0"/>
        <v>2400</v>
      </c>
      <c r="L30" s="167">
        <f t="shared" si="1"/>
        <v>1760.0000000000002</v>
      </c>
      <c r="M30" s="167">
        <f t="shared" si="2"/>
        <v>1680</v>
      </c>
      <c r="N30" s="168">
        <v>1600</v>
      </c>
      <c r="O30" s="169"/>
      <c r="P30" s="170">
        <f t="shared" si="3"/>
        <v>1600</v>
      </c>
      <c r="Q30" s="221">
        <f t="shared" si="4"/>
        <v>3975</v>
      </c>
      <c r="R30" s="221">
        <f t="shared" si="6"/>
        <v>2915.0000000000005</v>
      </c>
      <c r="S30" s="221">
        <f t="shared" si="7"/>
        <v>2782.5</v>
      </c>
      <c r="T30" s="172">
        <v>2650</v>
      </c>
      <c r="U30" s="108"/>
      <c r="V30" s="79"/>
      <c r="W30" s="86"/>
      <c r="X30" s="244">
        <f t="shared" si="5"/>
        <v>2650</v>
      </c>
      <c r="Y30" s="272"/>
      <c r="Z30" s="111">
        <f t="shared" si="8"/>
        <v>2245.7627118644068</v>
      </c>
    </row>
    <row r="31" spans="1:26" ht="17.25" customHeight="1" thickBot="1" x14ac:dyDescent="0.25">
      <c r="A31" s="725"/>
      <c r="B31" s="173" t="s">
        <v>540</v>
      </c>
      <c r="C31" s="174" t="s">
        <v>104</v>
      </c>
      <c r="D31" s="256" t="s">
        <v>285</v>
      </c>
      <c r="E31" s="136">
        <v>14.2</v>
      </c>
      <c r="F31" s="176">
        <v>0.12</v>
      </c>
      <c r="G31" s="176"/>
      <c r="H31" s="178">
        <v>0</v>
      </c>
      <c r="I31" s="179">
        <f>H31*E31</f>
        <v>0</v>
      </c>
      <c r="J31" s="180">
        <f>F31*H31</f>
        <v>0</v>
      </c>
      <c r="K31" s="139">
        <f t="shared" si="0"/>
        <v>4200</v>
      </c>
      <c r="L31" s="139">
        <f t="shared" si="1"/>
        <v>3080.0000000000005</v>
      </c>
      <c r="M31" s="139">
        <f t="shared" si="2"/>
        <v>2940</v>
      </c>
      <c r="N31" s="140">
        <v>2800</v>
      </c>
      <c r="O31" s="141">
        <v>1691</v>
      </c>
      <c r="P31" s="142">
        <f t="shared" si="3"/>
        <v>1109</v>
      </c>
      <c r="Q31" s="219">
        <f t="shared" si="4"/>
        <v>5107.5</v>
      </c>
      <c r="R31" s="219">
        <f t="shared" si="6"/>
        <v>3745.5000000000005</v>
      </c>
      <c r="S31" s="219">
        <f t="shared" si="7"/>
        <v>3575.25</v>
      </c>
      <c r="T31" s="144">
        <v>3405</v>
      </c>
      <c r="U31" s="108">
        <f>O31*1.1</f>
        <v>1860.1000000000001</v>
      </c>
      <c r="V31" s="79">
        <f>T31-U31</f>
        <v>1544.8999999999999</v>
      </c>
      <c r="W31" s="86">
        <v>780</v>
      </c>
      <c r="X31" s="244">
        <f t="shared" si="5"/>
        <v>2200</v>
      </c>
      <c r="Y31" s="272">
        <v>1205</v>
      </c>
      <c r="Z31" s="111">
        <f t="shared" si="8"/>
        <v>2885.5932203389834</v>
      </c>
    </row>
    <row r="32" spans="1:26" ht="13.5" thickTop="1" x14ac:dyDescent="0.2">
      <c r="A32" s="717" t="s">
        <v>137</v>
      </c>
      <c r="B32" s="160" t="s">
        <v>177</v>
      </c>
      <c r="C32" s="161" t="s">
        <v>1</v>
      </c>
      <c r="D32" s="260"/>
      <c r="E32" s="162">
        <v>6</v>
      </c>
      <c r="F32" s="163">
        <v>7.0000000000000007E-2</v>
      </c>
      <c r="G32" s="163">
        <v>10</v>
      </c>
      <c r="H32" s="164">
        <v>0</v>
      </c>
      <c r="I32" s="165">
        <f t="shared" si="14"/>
        <v>0</v>
      </c>
      <c r="J32" s="166">
        <f t="shared" si="15"/>
        <v>0</v>
      </c>
      <c r="K32" s="167">
        <f t="shared" si="0"/>
        <v>3750</v>
      </c>
      <c r="L32" s="167">
        <f t="shared" si="1"/>
        <v>2750</v>
      </c>
      <c r="M32" s="167">
        <f t="shared" si="2"/>
        <v>2625</v>
      </c>
      <c r="N32" s="168">
        <v>2500</v>
      </c>
      <c r="O32" s="169"/>
      <c r="P32" s="170">
        <f t="shared" si="3"/>
        <v>2500</v>
      </c>
      <c r="Q32" s="221">
        <f t="shared" si="4"/>
        <v>4125</v>
      </c>
      <c r="R32" s="221">
        <f t="shared" si="6"/>
        <v>3025.0000000000005</v>
      </c>
      <c r="S32" s="221">
        <f t="shared" si="7"/>
        <v>2887.5</v>
      </c>
      <c r="T32" s="129">
        <f>N32*1.1</f>
        <v>2750</v>
      </c>
      <c r="U32" s="108"/>
      <c r="V32" s="79"/>
      <c r="W32" s="86"/>
      <c r="X32" s="244">
        <f t="shared" si="5"/>
        <v>2750</v>
      </c>
      <c r="Y32" s="272"/>
      <c r="Z32" s="111">
        <f t="shared" si="8"/>
        <v>2330.5084745762715</v>
      </c>
    </row>
    <row r="33" spans="1:26" ht="12.75" x14ac:dyDescent="0.2">
      <c r="A33" s="710"/>
      <c r="B33" s="14" t="s">
        <v>171</v>
      </c>
      <c r="C33" s="8" t="s">
        <v>1</v>
      </c>
      <c r="D33" s="262"/>
      <c r="E33" s="5">
        <v>6</v>
      </c>
      <c r="F33" s="3">
        <v>7.0000000000000007E-2</v>
      </c>
      <c r="G33" s="3">
        <v>10</v>
      </c>
      <c r="H33" s="13">
        <v>0</v>
      </c>
      <c r="I33" s="29">
        <f t="shared" si="14"/>
        <v>0</v>
      </c>
      <c r="J33" s="30">
        <f t="shared" si="15"/>
        <v>0</v>
      </c>
      <c r="K33" s="93">
        <f t="shared" si="0"/>
        <v>4312.5</v>
      </c>
      <c r="L33" s="93">
        <f t="shared" si="1"/>
        <v>3162.5000000000005</v>
      </c>
      <c r="M33" s="93">
        <f t="shared" si="2"/>
        <v>3018.75</v>
      </c>
      <c r="N33" s="64">
        <v>2875</v>
      </c>
      <c r="O33" s="69"/>
      <c r="P33" s="132">
        <f t="shared" si="3"/>
        <v>2875</v>
      </c>
      <c r="Q33" s="218">
        <f t="shared" si="4"/>
        <v>4950</v>
      </c>
      <c r="R33" s="218">
        <f t="shared" si="6"/>
        <v>3630.0000000000005</v>
      </c>
      <c r="S33" s="218">
        <f t="shared" si="7"/>
        <v>3465</v>
      </c>
      <c r="T33" s="111">
        <v>3300</v>
      </c>
      <c r="U33" s="108"/>
      <c r="V33" s="79"/>
      <c r="W33" s="86"/>
      <c r="X33" s="244">
        <f t="shared" si="5"/>
        <v>3300</v>
      </c>
      <c r="Y33" s="272"/>
      <c r="Z33" s="111">
        <f t="shared" si="8"/>
        <v>2796.6101694915255</v>
      </c>
    </row>
    <row r="34" spans="1:26" ht="12.75" x14ac:dyDescent="0.2">
      <c r="A34" s="710"/>
      <c r="B34" s="14" t="s">
        <v>175</v>
      </c>
      <c r="C34" s="8" t="s">
        <v>2</v>
      </c>
      <c r="D34" s="262"/>
      <c r="E34" s="5">
        <v>7</v>
      </c>
      <c r="F34" s="3">
        <v>7.0000000000000007E-2</v>
      </c>
      <c r="G34" s="3">
        <v>10</v>
      </c>
      <c r="H34" s="13">
        <v>0</v>
      </c>
      <c r="I34" s="29">
        <f t="shared" si="14"/>
        <v>0</v>
      </c>
      <c r="J34" s="30">
        <f t="shared" si="15"/>
        <v>0</v>
      </c>
      <c r="K34" s="93">
        <f t="shared" si="0"/>
        <v>4275</v>
      </c>
      <c r="L34" s="93">
        <f t="shared" si="1"/>
        <v>3135.0000000000005</v>
      </c>
      <c r="M34" s="93">
        <f t="shared" si="2"/>
        <v>2992.5</v>
      </c>
      <c r="N34" s="64">
        <v>2850</v>
      </c>
      <c r="O34" s="69"/>
      <c r="P34" s="132">
        <f t="shared" si="3"/>
        <v>2850</v>
      </c>
      <c r="Q34" s="218">
        <f t="shared" si="4"/>
        <v>4702.5000000000009</v>
      </c>
      <c r="R34" s="218">
        <f t="shared" si="6"/>
        <v>3448.5000000000009</v>
      </c>
      <c r="S34" s="218">
        <f t="shared" si="7"/>
        <v>3291.7500000000005</v>
      </c>
      <c r="T34" s="111">
        <f>N34*1.1</f>
        <v>3135.0000000000005</v>
      </c>
      <c r="U34" s="108"/>
      <c r="V34" s="79"/>
      <c r="W34" s="86"/>
      <c r="X34" s="244">
        <f t="shared" si="5"/>
        <v>3135.0000000000005</v>
      </c>
      <c r="Y34" s="272"/>
      <c r="Z34" s="111">
        <f t="shared" si="8"/>
        <v>2656.7796610169498</v>
      </c>
    </row>
    <row r="35" spans="1:26" ht="12.75" x14ac:dyDescent="0.2">
      <c r="A35" s="710"/>
      <c r="B35" s="14" t="s">
        <v>172</v>
      </c>
      <c r="C35" s="8" t="s">
        <v>2</v>
      </c>
      <c r="D35" s="262"/>
      <c r="E35" s="5">
        <v>7</v>
      </c>
      <c r="F35" s="3">
        <v>7.0000000000000007E-2</v>
      </c>
      <c r="G35" s="3">
        <v>10</v>
      </c>
      <c r="H35" s="13">
        <v>0</v>
      </c>
      <c r="I35" s="29">
        <f t="shared" si="14"/>
        <v>0</v>
      </c>
      <c r="J35" s="30">
        <f t="shared" si="15"/>
        <v>0</v>
      </c>
      <c r="K35" s="93">
        <f t="shared" si="0"/>
        <v>4920</v>
      </c>
      <c r="L35" s="93">
        <f t="shared" si="1"/>
        <v>3608.0000000000005</v>
      </c>
      <c r="M35" s="93">
        <f t="shared" si="2"/>
        <v>3444</v>
      </c>
      <c r="N35" s="64">
        <v>3280</v>
      </c>
      <c r="O35" s="69"/>
      <c r="P35" s="132">
        <f t="shared" si="3"/>
        <v>3280</v>
      </c>
      <c r="Q35" s="218">
        <f t="shared" si="4"/>
        <v>5670</v>
      </c>
      <c r="R35" s="218">
        <f t="shared" si="6"/>
        <v>4158</v>
      </c>
      <c r="S35" s="218">
        <f t="shared" si="7"/>
        <v>3969</v>
      </c>
      <c r="T35" s="111">
        <v>3780</v>
      </c>
      <c r="U35" s="108"/>
      <c r="V35" s="79"/>
      <c r="W35" s="86"/>
      <c r="X35" s="244">
        <f t="shared" si="5"/>
        <v>3780</v>
      </c>
      <c r="Y35" s="272"/>
      <c r="Z35" s="111">
        <f t="shared" si="8"/>
        <v>3203.3898305084749</v>
      </c>
    </row>
    <row r="36" spans="1:26" ht="12.75" x14ac:dyDescent="0.2">
      <c r="A36" s="710"/>
      <c r="B36" s="14" t="s">
        <v>176</v>
      </c>
      <c r="C36" s="8" t="s">
        <v>3</v>
      </c>
      <c r="D36" s="262"/>
      <c r="E36" s="5">
        <v>12</v>
      </c>
      <c r="F36" s="3">
        <v>0.09</v>
      </c>
      <c r="G36" s="3">
        <v>10</v>
      </c>
      <c r="H36" s="13">
        <v>0</v>
      </c>
      <c r="I36" s="29">
        <f t="shared" si="14"/>
        <v>0</v>
      </c>
      <c r="J36" s="30">
        <f t="shared" si="15"/>
        <v>0</v>
      </c>
      <c r="K36" s="93">
        <f t="shared" si="0"/>
        <v>5025</v>
      </c>
      <c r="L36" s="93">
        <f t="shared" si="1"/>
        <v>3685.0000000000005</v>
      </c>
      <c r="M36" s="93">
        <f t="shared" si="2"/>
        <v>3517.5</v>
      </c>
      <c r="N36" s="64">
        <v>3350</v>
      </c>
      <c r="O36" s="69"/>
      <c r="P36" s="132">
        <f t="shared" si="3"/>
        <v>3350</v>
      </c>
      <c r="Q36" s="218">
        <f t="shared" si="4"/>
        <v>5527.5000000000009</v>
      </c>
      <c r="R36" s="218">
        <f t="shared" si="6"/>
        <v>4053.5000000000009</v>
      </c>
      <c r="S36" s="218">
        <f t="shared" si="7"/>
        <v>3869.2500000000005</v>
      </c>
      <c r="T36" s="111">
        <f>N36*1.1</f>
        <v>3685.0000000000005</v>
      </c>
      <c r="U36" s="108"/>
      <c r="V36" s="79"/>
      <c r="W36" s="86"/>
      <c r="X36" s="244">
        <f t="shared" si="5"/>
        <v>3685.0000000000005</v>
      </c>
      <c r="Y36" s="272"/>
      <c r="Z36" s="111">
        <f t="shared" si="8"/>
        <v>3122.8813559322039</v>
      </c>
    </row>
    <row r="37" spans="1:26" ht="12.75" x14ac:dyDescent="0.2">
      <c r="A37" s="710"/>
      <c r="B37" s="14" t="s">
        <v>173</v>
      </c>
      <c r="C37" s="8" t="s">
        <v>3</v>
      </c>
      <c r="D37" s="262"/>
      <c r="E37" s="5">
        <v>12</v>
      </c>
      <c r="F37" s="3">
        <v>0.09</v>
      </c>
      <c r="G37" s="3">
        <v>10</v>
      </c>
      <c r="H37" s="13">
        <v>0</v>
      </c>
      <c r="I37" s="29">
        <f t="shared" si="14"/>
        <v>0</v>
      </c>
      <c r="J37" s="30">
        <f t="shared" si="15"/>
        <v>0</v>
      </c>
      <c r="K37" s="93">
        <f t="shared" si="0"/>
        <v>5782.5</v>
      </c>
      <c r="L37" s="93">
        <f t="shared" si="1"/>
        <v>4240.5</v>
      </c>
      <c r="M37" s="93">
        <f t="shared" si="2"/>
        <v>4047.75</v>
      </c>
      <c r="N37" s="64">
        <v>3855</v>
      </c>
      <c r="O37" s="69"/>
      <c r="P37" s="132">
        <f t="shared" si="3"/>
        <v>3855</v>
      </c>
      <c r="Q37" s="218">
        <f t="shared" si="4"/>
        <v>6652.5</v>
      </c>
      <c r="R37" s="218">
        <f t="shared" si="6"/>
        <v>4878.5</v>
      </c>
      <c r="S37" s="218">
        <f t="shared" si="7"/>
        <v>4656.75</v>
      </c>
      <c r="T37" s="111">
        <v>4435</v>
      </c>
      <c r="U37" s="108"/>
      <c r="V37" s="79"/>
      <c r="W37" s="86"/>
      <c r="X37" s="244">
        <f t="shared" si="5"/>
        <v>4435</v>
      </c>
      <c r="Y37" s="272"/>
      <c r="Z37" s="111">
        <f t="shared" si="8"/>
        <v>3758.4745762711868</v>
      </c>
    </row>
    <row r="38" spans="1:26" ht="12.75" x14ac:dyDescent="0.2">
      <c r="A38" s="710"/>
      <c r="B38" s="14" t="s">
        <v>168</v>
      </c>
      <c r="C38" s="8" t="s">
        <v>4</v>
      </c>
      <c r="D38" s="262"/>
      <c r="E38" s="5">
        <v>13</v>
      </c>
      <c r="F38" s="3">
        <v>0.14000000000000001</v>
      </c>
      <c r="G38" s="3">
        <v>10</v>
      </c>
      <c r="H38" s="13">
        <v>0</v>
      </c>
      <c r="I38" s="29">
        <f t="shared" si="14"/>
        <v>0</v>
      </c>
      <c r="J38" s="30">
        <f t="shared" si="15"/>
        <v>0</v>
      </c>
      <c r="K38" s="93">
        <f t="shared" si="0"/>
        <v>6900</v>
      </c>
      <c r="L38" s="93">
        <f t="shared" si="1"/>
        <v>5060</v>
      </c>
      <c r="M38" s="93">
        <f t="shared" si="2"/>
        <v>4830</v>
      </c>
      <c r="N38" s="64">
        <v>4600</v>
      </c>
      <c r="O38" s="69"/>
      <c r="P38" s="132">
        <f t="shared" si="3"/>
        <v>4600</v>
      </c>
      <c r="Q38" s="218">
        <f t="shared" si="4"/>
        <v>7590</v>
      </c>
      <c r="R38" s="218">
        <f t="shared" si="6"/>
        <v>5566</v>
      </c>
      <c r="S38" s="218">
        <f t="shared" si="7"/>
        <v>5313</v>
      </c>
      <c r="T38" s="111">
        <f>N38*1.1</f>
        <v>5060</v>
      </c>
      <c r="U38" s="108"/>
      <c r="V38" s="79"/>
      <c r="W38" s="86"/>
      <c r="X38" s="244">
        <f t="shared" si="5"/>
        <v>5060</v>
      </c>
      <c r="Y38" s="272"/>
      <c r="Z38" s="111">
        <f t="shared" si="8"/>
        <v>4288.1355932203396</v>
      </c>
    </row>
    <row r="39" spans="1:26" ht="12.75" x14ac:dyDescent="0.2">
      <c r="A39" s="710"/>
      <c r="B39" s="14" t="s">
        <v>169</v>
      </c>
      <c r="C39" s="8" t="s">
        <v>4</v>
      </c>
      <c r="D39" s="262"/>
      <c r="E39" s="5">
        <v>13</v>
      </c>
      <c r="F39" s="3">
        <v>0.14000000000000001</v>
      </c>
      <c r="G39" s="3">
        <v>10</v>
      </c>
      <c r="H39" s="13">
        <v>0</v>
      </c>
      <c r="I39" s="29">
        <f t="shared" si="14"/>
        <v>0</v>
      </c>
      <c r="J39" s="30">
        <f t="shared" si="15"/>
        <v>0</v>
      </c>
      <c r="K39" s="93">
        <f t="shared" si="0"/>
        <v>7935</v>
      </c>
      <c r="L39" s="93">
        <f t="shared" si="1"/>
        <v>5819.0000000000009</v>
      </c>
      <c r="M39" s="93">
        <f t="shared" si="2"/>
        <v>5554.5</v>
      </c>
      <c r="N39" s="64">
        <v>5290</v>
      </c>
      <c r="O39" s="69"/>
      <c r="P39" s="132">
        <f t="shared" si="3"/>
        <v>5290</v>
      </c>
      <c r="Q39" s="218">
        <f t="shared" si="4"/>
        <v>9127.5</v>
      </c>
      <c r="R39" s="218">
        <f t="shared" si="6"/>
        <v>6693.5000000000009</v>
      </c>
      <c r="S39" s="218">
        <f t="shared" si="7"/>
        <v>6389.25</v>
      </c>
      <c r="T39" s="111">
        <v>6085</v>
      </c>
      <c r="U39" s="108"/>
      <c r="V39" s="79"/>
      <c r="W39" s="86"/>
      <c r="X39" s="244">
        <f t="shared" si="5"/>
        <v>6085</v>
      </c>
      <c r="Y39" s="272"/>
      <c r="Z39" s="111">
        <f t="shared" si="8"/>
        <v>5156.7796610169498</v>
      </c>
    </row>
    <row r="40" spans="1:26" ht="12.75" x14ac:dyDescent="0.2">
      <c r="A40" s="710"/>
      <c r="B40" s="14" t="s">
        <v>174</v>
      </c>
      <c r="C40" s="8" t="s">
        <v>5</v>
      </c>
      <c r="D40" s="262"/>
      <c r="E40" s="5">
        <v>16</v>
      </c>
      <c r="F40" s="3">
        <v>0.17</v>
      </c>
      <c r="G40" s="3">
        <v>10</v>
      </c>
      <c r="H40" s="13">
        <v>0</v>
      </c>
      <c r="I40" s="29">
        <f t="shared" si="14"/>
        <v>0</v>
      </c>
      <c r="J40" s="30">
        <f t="shared" si="15"/>
        <v>0</v>
      </c>
      <c r="K40" s="93">
        <f t="shared" si="0"/>
        <v>7500</v>
      </c>
      <c r="L40" s="93">
        <f t="shared" si="1"/>
        <v>5500</v>
      </c>
      <c r="M40" s="93">
        <f t="shared" si="2"/>
        <v>5250</v>
      </c>
      <c r="N40" s="64">
        <v>5000</v>
      </c>
      <c r="O40" s="69"/>
      <c r="P40" s="132">
        <f t="shared" si="3"/>
        <v>5000</v>
      </c>
      <c r="Q40" s="218">
        <f t="shared" si="4"/>
        <v>8250</v>
      </c>
      <c r="R40" s="218">
        <f t="shared" si="6"/>
        <v>6050.0000000000009</v>
      </c>
      <c r="S40" s="218">
        <f t="shared" si="7"/>
        <v>5775</v>
      </c>
      <c r="T40" s="111">
        <f>N40*1.1</f>
        <v>5500</v>
      </c>
      <c r="U40" s="108"/>
      <c r="V40" s="79"/>
      <c r="W40" s="86"/>
      <c r="X40" s="244">
        <f t="shared" si="5"/>
        <v>5500</v>
      </c>
      <c r="Y40" s="272"/>
      <c r="Z40" s="111">
        <f t="shared" si="8"/>
        <v>4661.016949152543</v>
      </c>
    </row>
    <row r="41" spans="1:26" ht="12.75" x14ac:dyDescent="0.2">
      <c r="A41" s="710"/>
      <c r="B41" s="14" t="s">
        <v>170</v>
      </c>
      <c r="C41" s="8" t="s">
        <v>5</v>
      </c>
      <c r="D41" s="262"/>
      <c r="E41" s="5">
        <v>16</v>
      </c>
      <c r="F41" s="3">
        <v>0.17</v>
      </c>
      <c r="G41" s="3">
        <v>10</v>
      </c>
      <c r="H41" s="13">
        <v>0</v>
      </c>
      <c r="I41" s="29">
        <f t="shared" si="14"/>
        <v>0</v>
      </c>
      <c r="J41" s="30">
        <f t="shared" si="15"/>
        <v>0</v>
      </c>
      <c r="K41" s="93">
        <f t="shared" si="0"/>
        <v>8625</v>
      </c>
      <c r="L41" s="93">
        <f t="shared" si="1"/>
        <v>6325.0000000000009</v>
      </c>
      <c r="M41" s="93">
        <f t="shared" si="2"/>
        <v>6037.5</v>
      </c>
      <c r="N41" s="64">
        <v>5750</v>
      </c>
      <c r="O41" s="69"/>
      <c r="P41" s="132">
        <f t="shared" si="3"/>
        <v>5750</v>
      </c>
      <c r="Q41" s="218">
        <f t="shared" si="4"/>
        <v>9922.5</v>
      </c>
      <c r="R41" s="218">
        <f t="shared" si="6"/>
        <v>7276.5000000000009</v>
      </c>
      <c r="S41" s="218">
        <f t="shared" si="7"/>
        <v>6945.75</v>
      </c>
      <c r="T41" s="111">
        <v>6615</v>
      </c>
      <c r="U41" s="108"/>
      <c r="V41" s="79"/>
      <c r="W41" s="86"/>
      <c r="X41" s="244">
        <f t="shared" si="5"/>
        <v>6615</v>
      </c>
      <c r="Y41" s="272"/>
      <c r="Z41" s="111">
        <f t="shared" si="8"/>
        <v>5605.9322033898306</v>
      </c>
    </row>
    <row r="42" spans="1:26" ht="12.75" x14ac:dyDescent="0.2">
      <c r="A42" s="710"/>
      <c r="B42" s="14" t="s">
        <v>373</v>
      </c>
      <c r="C42" s="7" t="s">
        <v>75</v>
      </c>
      <c r="D42" s="277"/>
      <c r="E42" s="5">
        <v>34.5</v>
      </c>
      <c r="F42" s="3">
        <v>0.23</v>
      </c>
      <c r="G42" s="3">
        <v>6</v>
      </c>
      <c r="H42" s="13">
        <v>0</v>
      </c>
      <c r="I42" s="29">
        <f t="shared" si="14"/>
        <v>0</v>
      </c>
      <c r="J42" s="30">
        <f t="shared" si="15"/>
        <v>0</v>
      </c>
      <c r="K42" s="93">
        <f t="shared" si="0"/>
        <v>11250</v>
      </c>
      <c r="L42" s="93">
        <f t="shared" si="1"/>
        <v>8250</v>
      </c>
      <c r="M42" s="93">
        <f t="shared" si="2"/>
        <v>7875</v>
      </c>
      <c r="N42" s="64">
        <v>7500</v>
      </c>
      <c r="O42" s="69"/>
      <c r="P42" s="132">
        <f t="shared" si="3"/>
        <v>7500</v>
      </c>
      <c r="Q42" s="218">
        <f t="shared" si="4"/>
        <v>12375</v>
      </c>
      <c r="R42" s="218">
        <f t="shared" si="6"/>
        <v>9075</v>
      </c>
      <c r="S42" s="218">
        <f t="shared" si="7"/>
        <v>8662.5</v>
      </c>
      <c r="T42" s="111">
        <f>N42*1.1</f>
        <v>8250</v>
      </c>
      <c r="U42" s="108"/>
      <c r="V42" s="79"/>
      <c r="W42" s="86"/>
      <c r="X42" s="244">
        <f t="shared" si="5"/>
        <v>8250</v>
      </c>
      <c r="Y42" s="272"/>
      <c r="Z42" s="111">
        <f t="shared" si="8"/>
        <v>6991.5254237288136</v>
      </c>
    </row>
    <row r="43" spans="1:26" ht="12.75" x14ac:dyDescent="0.2">
      <c r="A43" s="710"/>
      <c r="B43" s="14" t="s">
        <v>374</v>
      </c>
      <c r="C43" s="7" t="s">
        <v>75</v>
      </c>
      <c r="D43" s="277"/>
      <c r="E43" s="5">
        <v>34.5</v>
      </c>
      <c r="F43" s="3">
        <v>0.23</v>
      </c>
      <c r="G43" s="3">
        <v>6</v>
      </c>
      <c r="H43" s="13">
        <v>0</v>
      </c>
      <c r="I43" s="29">
        <f t="shared" si="14"/>
        <v>0</v>
      </c>
      <c r="J43" s="30">
        <f t="shared" si="15"/>
        <v>0</v>
      </c>
      <c r="K43" s="93">
        <f t="shared" si="0"/>
        <v>12075</v>
      </c>
      <c r="L43" s="93">
        <f t="shared" si="1"/>
        <v>8855</v>
      </c>
      <c r="M43" s="93">
        <f t="shared" si="2"/>
        <v>8452.5</v>
      </c>
      <c r="N43" s="64">
        <v>8050</v>
      </c>
      <c r="O43" s="69"/>
      <c r="P43" s="132">
        <f t="shared" si="3"/>
        <v>8050</v>
      </c>
      <c r="Q43" s="218">
        <f t="shared" si="4"/>
        <v>13884</v>
      </c>
      <c r="R43" s="218">
        <f t="shared" si="6"/>
        <v>10181.6</v>
      </c>
      <c r="S43" s="218">
        <f t="shared" si="7"/>
        <v>9718.8000000000011</v>
      </c>
      <c r="T43" s="111">
        <v>9256</v>
      </c>
      <c r="U43" s="108"/>
      <c r="V43" s="79"/>
      <c r="W43" s="86"/>
      <c r="X43" s="244">
        <f t="shared" si="5"/>
        <v>9256</v>
      </c>
      <c r="Y43" s="272"/>
      <c r="Z43" s="111">
        <f t="shared" si="8"/>
        <v>7844.0677966101703</v>
      </c>
    </row>
    <row r="44" spans="1:26" ht="18.75" customHeight="1" x14ac:dyDescent="0.2">
      <c r="A44" s="710"/>
      <c r="B44" s="14" t="s">
        <v>227</v>
      </c>
      <c r="C44" s="7" t="s">
        <v>89</v>
      </c>
      <c r="D44" s="261" t="s">
        <v>285</v>
      </c>
      <c r="E44" s="3">
        <v>15</v>
      </c>
      <c r="F44" s="3">
        <v>0.13</v>
      </c>
      <c r="G44" s="34"/>
      <c r="H44" s="13">
        <v>0</v>
      </c>
      <c r="I44" s="29">
        <f t="shared" si="14"/>
        <v>0</v>
      </c>
      <c r="J44" s="30">
        <f t="shared" si="15"/>
        <v>0</v>
      </c>
      <c r="K44" s="93">
        <f t="shared" si="0"/>
        <v>7500</v>
      </c>
      <c r="L44" s="93">
        <f t="shared" si="1"/>
        <v>5500</v>
      </c>
      <c r="M44" s="93">
        <f t="shared" si="2"/>
        <v>5250</v>
      </c>
      <c r="N44" s="64">
        <v>5000</v>
      </c>
      <c r="O44" s="69">
        <v>3891</v>
      </c>
      <c r="P44" s="132">
        <f t="shared" si="3"/>
        <v>1109</v>
      </c>
      <c r="Q44" s="218">
        <f t="shared" si="4"/>
        <v>8332.5</v>
      </c>
      <c r="R44" s="218">
        <f t="shared" si="6"/>
        <v>6110.5000000000009</v>
      </c>
      <c r="S44" s="218">
        <f t="shared" si="7"/>
        <v>5832.75</v>
      </c>
      <c r="T44" s="111">
        <v>5555</v>
      </c>
      <c r="U44" s="108">
        <f>O44*1.1</f>
        <v>4280.1000000000004</v>
      </c>
      <c r="V44" s="79">
        <f>T44-U44</f>
        <v>1274.8999999999996</v>
      </c>
      <c r="W44" s="86">
        <v>780</v>
      </c>
      <c r="X44" s="244">
        <f t="shared" si="5"/>
        <v>4350</v>
      </c>
      <c r="Y44" s="272">
        <v>1205</v>
      </c>
      <c r="Z44" s="111">
        <f t="shared" si="8"/>
        <v>4707.6271186440681</v>
      </c>
    </row>
    <row r="45" spans="1:26" ht="19.5" customHeight="1" x14ac:dyDescent="0.2">
      <c r="A45" s="710"/>
      <c r="B45" s="14" t="s">
        <v>232</v>
      </c>
      <c r="C45" s="7" t="s">
        <v>89</v>
      </c>
      <c r="D45" s="261" t="s">
        <v>285</v>
      </c>
      <c r="E45" s="3">
        <v>15</v>
      </c>
      <c r="F45" s="3">
        <v>0.13</v>
      </c>
      <c r="G45" s="34"/>
      <c r="H45" s="13">
        <v>0</v>
      </c>
      <c r="I45" s="29">
        <f t="shared" si="14"/>
        <v>0</v>
      </c>
      <c r="J45" s="30">
        <f t="shared" si="15"/>
        <v>0</v>
      </c>
      <c r="K45" s="93">
        <f t="shared" si="0"/>
        <v>8625</v>
      </c>
      <c r="L45" s="93">
        <f t="shared" si="1"/>
        <v>6325.0000000000009</v>
      </c>
      <c r="M45" s="93">
        <f t="shared" si="2"/>
        <v>6037.5</v>
      </c>
      <c r="N45" s="64">
        <v>5750</v>
      </c>
      <c r="O45" s="69">
        <v>4641</v>
      </c>
      <c r="P45" s="132">
        <f t="shared" si="3"/>
        <v>1109</v>
      </c>
      <c r="Q45" s="218">
        <f t="shared" si="4"/>
        <v>10005</v>
      </c>
      <c r="R45" s="218">
        <f t="shared" si="6"/>
        <v>7337.0000000000009</v>
      </c>
      <c r="S45" s="218">
        <f t="shared" si="7"/>
        <v>7003.5</v>
      </c>
      <c r="T45" s="111">
        <v>6670</v>
      </c>
      <c r="U45" s="108">
        <f t="shared" ref="U45:U53" si="16">O45*1.1</f>
        <v>5105.1000000000004</v>
      </c>
      <c r="V45" s="79">
        <f>T45-U45</f>
        <v>1564.8999999999996</v>
      </c>
      <c r="W45" s="86">
        <v>780</v>
      </c>
      <c r="X45" s="244">
        <f t="shared" si="5"/>
        <v>5465</v>
      </c>
      <c r="Y45" s="272">
        <v>1205</v>
      </c>
      <c r="Z45" s="111">
        <f t="shared" si="8"/>
        <v>5652.5423728813566</v>
      </c>
    </row>
    <row r="46" spans="1:26" ht="24.75" customHeight="1" x14ac:dyDescent="0.2">
      <c r="A46" s="710"/>
      <c r="B46" s="14" t="s">
        <v>228</v>
      </c>
      <c r="C46" s="7" t="s">
        <v>90</v>
      </c>
      <c r="D46" s="261" t="s">
        <v>286</v>
      </c>
      <c r="E46" s="3">
        <v>17.5</v>
      </c>
      <c r="F46" s="3">
        <v>0.17</v>
      </c>
      <c r="G46" s="34"/>
      <c r="H46" s="13">
        <v>0</v>
      </c>
      <c r="I46" s="29">
        <f t="shared" si="14"/>
        <v>0</v>
      </c>
      <c r="J46" s="30">
        <f t="shared" si="15"/>
        <v>0</v>
      </c>
      <c r="K46" s="93">
        <f t="shared" si="0"/>
        <v>7950</v>
      </c>
      <c r="L46" s="93">
        <f t="shared" si="1"/>
        <v>5830.0000000000009</v>
      </c>
      <c r="M46" s="93">
        <f t="shared" si="2"/>
        <v>5565</v>
      </c>
      <c r="N46" s="64">
        <v>5300</v>
      </c>
      <c r="O46" s="69">
        <v>4146.5</v>
      </c>
      <c r="P46" s="132">
        <f t="shared" si="3"/>
        <v>1153.5</v>
      </c>
      <c r="Q46" s="218">
        <f t="shared" si="4"/>
        <v>8835</v>
      </c>
      <c r="R46" s="218">
        <f t="shared" si="6"/>
        <v>6479.0000000000009</v>
      </c>
      <c r="S46" s="218">
        <f t="shared" si="7"/>
        <v>6184.5</v>
      </c>
      <c r="T46" s="111">
        <v>5890</v>
      </c>
      <c r="U46" s="108">
        <f t="shared" si="16"/>
        <v>4561.1500000000005</v>
      </c>
      <c r="V46" s="79">
        <f t="shared" ref="V46:V88" si="17">T46-U46</f>
        <v>1328.8499999999995</v>
      </c>
      <c r="W46" s="86">
        <v>835</v>
      </c>
      <c r="X46" s="244">
        <f t="shared" si="5"/>
        <v>4600</v>
      </c>
      <c r="Y46" s="272">
        <v>1290</v>
      </c>
      <c r="Z46" s="111">
        <f t="shared" si="8"/>
        <v>4991.5254237288136</v>
      </c>
    </row>
    <row r="47" spans="1:26" ht="25.5" customHeight="1" x14ac:dyDescent="0.2">
      <c r="A47" s="710"/>
      <c r="B47" s="14" t="s">
        <v>233</v>
      </c>
      <c r="C47" s="7" t="s">
        <v>90</v>
      </c>
      <c r="D47" s="261" t="s">
        <v>286</v>
      </c>
      <c r="E47" s="3">
        <v>17.5</v>
      </c>
      <c r="F47" s="3">
        <v>0.17</v>
      </c>
      <c r="G47" s="34"/>
      <c r="H47" s="13">
        <v>0</v>
      </c>
      <c r="I47" s="29">
        <f t="shared" si="14"/>
        <v>0</v>
      </c>
      <c r="J47" s="30">
        <f t="shared" si="15"/>
        <v>0</v>
      </c>
      <c r="K47" s="93">
        <f t="shared" si="0"/>
        <v>9142.5</v>
      </c>
      <c r="L47" s="93">
        <f t="shared" si="1"/>
        <v>6704.5000000000009</v>
      </c>
      <c r="M47" s="93">
        <f t="shared" si="2"/>
        <v>6399.75</v>
      </c>
      <c r="N47" s="64">
        <v>6095</v>
      </c>
      <c r="O47" s="69">
        <v>4941.5</v>
      </c>
      <c r="P47" s="132">
        <f t="shared" si="3"/>
        <v>1153.5</v>
      </c>
      <c r="Q47" s="218">
        <f t="shared" si="4"/>
        <v>10605</v>
      </c>
      <c r="R47" s="218">
        <f t="shared" si="6"/>
        <v>7777.0000000000009</v>
      </c>
      <c r="S47" s="218">
        <f t="shared" si="7"/>
        <v>7423.5</v>
      </c>
      <c r="T47" s="111">
        <v>7070</v>
      </c>
      <c r="U47" s="108">
        <f t="shared" si="16"/>
        <v>5435.6500000000005</v>
      </c>
      <c r="V47" s="79">
        <f t="shared" si="17"/>
        <v>1634.3499999999995</v>
      </c>
      <c r="W47" s="86">
        <v>835</v>
      </c>
      <c r="X47" s="244">
        <f t="shared" si="5"/>
        <v>5780</v>
      </c>
      <c r="Y47" s="272">
        <v>1290</v>
      </c>
      <c r="Z47" s="111">
        <f t="shared" si="8"/>
        <v>5991.5254237288136</v>
      </c>
    </row>
    <row r="48" spans="1:26" ht="24.75" customHeight="1" x14ac:dyDescent="0.2">
      <c r="A48" s="710"/>
      <c r="B48" s="14" t="s">
        <v>229</v>
      </c>
      <c r="C48" s="7" t="s">
        <v>91</v>
      </c>
      <c r="D48" s="261" t="s">
        <v>287</v>
      </c>
      <c r="E48" s="3">
        <v>25</v>
      </c>
      <c r="F48" s="3">
        <v>0.21</v>
      </c>
      <c r="G48" s="34"/>
      <c r="H48" s="13">
        <v>0</v>
      </c>
      <c r="I48" s="29">
        <f t="shared" si="14"/>
        <v>0</v>
      </c>
      <c r="J48" s="30">
        <f t="shared" si="15"/>
        <v>0</v>
      </c>
      <c r="K48" s="93">
        <f t="shared" si="0"/>
        <v>10725</v>
      </c>
      <c r="L48" s="93">
        <f t="shared" si="1"/>
        <v>7865.0000000000009</v>
      </c>
      <c r="M48" s="93">
        <f t="shared" si="2"/>
        <v>7507.5</v>
      </c>
      <c r="N48" s="64">
        <v>7150</v>
      </c>
      <c r="O48" s="69">
        <v>4951.2</v>
      </c>
      <c r="P48" s="132">
        <f t="shared" si="3"/>
        <v>2198.8000000000002</v>
      </c>
      <c r="Q48" s="218">
        <f t="shared" si="4"/>
        <v>11959.5</v>
      </c>
      <c r="R48" s="218">
        <f t="shared" si="6"/>
        <v>8770.3000000000011</v>
      </c>
      <c r="S48" s="218">
        <f t="shared" si="7"/>
        <v>8371.65</v>
      </c>
      <c r="T48" s="111">
        <v>7973</v>
      </c>
      <c r="U48" s="108">
        <f t="shared" si="16"/>
        <v>5446.3200000000006</v>
      </c>
      <c r="V48" s="79">
        <f t="shared" si="17"/>
        <v>2526.6799999999994</v>
      </c>
      <c r="W48" s="86">
        <v>1545.8</v>
      </c>
      <c r="X48" s="244">
        <f t="shared" si="5"/>
        <v>5585</v>
      </c>
      <c r="Y48" s="272">
        <v>2388</v>
      </c>
      <c r="Z48" s="111">
        <f t="shared" si="8"/>
        <v>6756.7796610169498</v>
      </c>
    </row>
    <row r="49" spans="1:26" ht="24" customHeight="1" x14ac:dyDescent="0.2">
      <c r="A49" s="710"/>
      <c r="B49" s="14" t="s">
        <v>234</v>
      </c>
      <c r="C49" s="7" t="s">
        <v>91</v>
      </c>
      <c r="D49" s="261" t="s">
        <v>287</v>
      </c>
      <c r="E49" s="3">
        <v>25</v>
      </c>
      <c r="F49" s="3">
        <v>0.21</v>
      </c>
      <c r="G49" s="34"/>
      <c r="H49" s="13">
        <v>0</v>
      </c>
      <c r="I49" s="29">
        <f t="shared" si="14"/>
        <v>0</v>
      </c>
      <c r="J49" s="30">
        <f t="shared" si="15"/>
        <v>0</v>
      </c>
      <c r="K49" s="93">
        <f t="shared" si="0"/>
        <v>12337.5</v>
      </c>
      <c r="L49" s="93">
        <f t="shared" si="1"/>
        <v>9047.5</v>
      </c>
      <c r="M49" s="93">
        <f t="shared" si="2"/>
        <v>8636.25</v>
      </c>
      <c r="N49" s="64">
        <v>8225</v>
      </c>
      <c r="O49" s="69">
        <v>6026.2</v>
      </c>
      <c r="P49" s="132">
        <f t="shared" si="3"/>
        <v>2198.8000000000002</v>
      </c>
      <c r="Q49" s="218">
        <f t="shared" si="4"/>
        <v>14352</v>
      </c>
      <c r="R49" s="218">
        <f t="shared" si="6"/>
        <v>10524.800000000001</v>
      </c>
      <c r="S49" s="218">
        <f t="shared" si="7"/>
        <v>10046.4</v>
      </c>
      <c r="T49" s="111">
        <v>9568</v>
      </c>
      <c r="U49" s="108">
        <f t="shared" si="16"/>
        <v>6628.8200000000006</v>
      </c>
      <c r="V49" s="79">
        <f t="shared" si="17"/>
        <v>2939.1799999999994</v>
      </c>
      <c r="W49" s="86">
        <v>1545.8</v>
      </c>
      <c r="X49" s="244">
        <f t="shared" si="5"/>
        <v>7180</v>
      </c>
      <c r="Y49" s="272">
        <v>2388</v>
      </c>
      <c r="Z49" s="111">
        <f t="shared" si="8"/>
        <v>8108.4745762711873</v>
      </c>
    </row>
    <row r="50" spans="1:26" ht="26.25" customHeight="1" x14ac:dyDescent="0.2">
      <c r="A50" s="710"/>
      <c r="B50" s="14" t="s">
        <v>225</v>
      </c>
      <c r="C50" s="7" t="s">
        <v>87</v>
      </c>
      <c r="D50" s="261" t="s">
        <v>288</v>
      </c>
      <c r="E50" s="3">
        <v>29</v>
      </c>
      <c r="F50" s="3">
        <v>0.28000000000000003</v>
      </c>
      <c r="G50" s="34"/>
      <c r="H50" s="13">
        <v>0</v>
      </c>
      <c r="I50" s="29">
        <f t="shared" si="14"/>
        <v>0</v>
      </c>
      <c r="J50" s="30">
        <f t="shared" si="15"/>
        <v>0</v>
      </c>
      <c r="K50" s="93">
        <f t="shared" si="0"/>
        <v>13200</v>
      </c>
      <c r="L50" s="93">
        <f t="shared" si="1"/>
        <v>9680</v>
      </c>
      <c r="M50" s="93">
        <f t="shared" si="2"/>
        <v>9240</v>
      </c>
      <c r="N50" s="64">
        <v>8800</v>
      </c>
      <c r="O50" s="69">
        <v>6317.15</v>
      </c>
      <c r="P50" s="132">
        <f t="shared" si="3"/>
        <v>2482.8500000000004</v>
      </c>
      <c r="Q50" s="218">
        <f t="shared" si="4"/>
        <v>14703</v>
      </c>
      <c r="R50" s="218">
        <f t="shared" si="6"/>
        <v>10782.2</v>
      </c>
      <c r="S50" s="218">
        <f t="shared" si="7"/>
        <v>10292.1</v>
      </c>
      <c r="T50" s="111">
        <v>9802</v>
      </c>
      <c r="U50" s="108">
        <f t="shared" si="16"/>
        <v>6948.8649999999998</v>
      </c>
      <c r="V50" s="79">
        <f t="shared" si="17"/>
        <v>2853.1350000000002</v>
      </c>
      <c r="W50" s="86">
        <v>1745</v>
      </c>
      <c r="X50" s="244">
        <f t="shared" si="5"/>
        <v>7106</v>
      </c>
      <c r="Y50" s="272">
        <v>2696</v>
      </c>
      <c r="Z50" s="111">
        <f t="shared" si="8"/>
        <v>8306.7796610169498</v>
      </c>
    </row>
    <row r="51" spans="1:26" ht="27" customHeight="1" x14ac:dyDescent="0.2">
      <c r="A51" s="710"/>
      <c r="B51" s="14" t="s">
        <v>230</v>
      </c>
      <c r="C51" s="7" t="s">
        <v>87</v>
      </c>
      <c r="D51" s="261" t="s">
        <v>288</v>
      </c>
      <c r="E51" s="3">
        <v>29</v>
      </c>
      <c r="F51" s="3">
        <v>0.28000000000000003</v>
      </c>
      <c r="G51" s="34"/>
      <c r="H51" s="13">
        <v>0</v>
      </c>
      <c r="I51" s="29">
        <f t="shared" si="14"/>
        <v>0</v>
      </c>
      <c r="J51" s="30">
        <f t="shared" si="15"/>
        <v>0</v>
      </c>
      <c r="K51" s="93">
        <f t="shared" si="0"/>
        <v>15180</v>
      </c>
      <c r="L51" s="93">
        <f t="shared" si="1"/>
        <v>11132</v>
      </c>
      <c r="M51" s="93">
        <f t="shared" si="2"/>
        <v>10626</v>
      </c>
      <c r="N51" s="64">
        <v>10120</v>
      </c>
      <c r="O51" s="69">
        <v>7637.15</v>
      </c>
      <c r="P51" s="132">
        <f t="shared" si="3"/>
        <v>2482.8500000000004</v>
      </c>
      <c r="Q51" s="218">
        <f t="shared" si="4"/>
        <v>17640</v>
      </c>
      <c r="R51" s="218">
        <f t="shared" si="6"/>
        <v>12936.000000000002</v>
      </c>
      <c r="S51" s="218">
        <f t="shared" si="7"/>
        <v>12348</v>
      </c>
      <c r="T51" s="111">
        <v>11760</v>
      </c>
      <c r="U51" s="108">
        <f t="shared" si="16"/>
        <v>8400.8649999999998</v>
      </c>
      <c r="V51" s="79">
        <f t="shared" si="17"/>
        <v>3359.1350000000002</v>
      </c>
      <c r="W51" s="86">
        <v>1745</v>
      </c>
      <c r="X51" s="244">
        <f t="shared" si="5"/>
        <v>9064</v>
      </c>
      <c r="Y51" s="272">
        <v>2696</v>
      </c>
      <c r="Z51" s="111">
        <f t="shared" si="8"/>
        <v>9966.1016949152545</v>
      </c>
    </row>
    <row r="52" spans="1:26" ht="15.75" customHeight="1" x14ac:dyDescent="0.2">
      <c r="A52" s="710"/>
      <c r="B52" s="14" t="s">
        <v>226</v>
      </c>
      <c r="C52" s="7" t="s">
        <v>88</v>
      </c>
      <c r="D52" s="261" t="s">
        <v>289</v>
      </c>
      <c r="E52" s="3">
        <v>34.200000000000003</v>
      </c>
      <c r="F52" s="3">
        <v>0.4</v>
      </c>
      <c r="G52" s="34"/>
      <c r="H52" s="13">
        <v>0</v>
      </c>
      <c r="I52" s="29">
        <f t="shared" si="14"/>
        <v>0</v>
      </c>
      <c r="J52" s="30">
        <f t="shared" si="15"/>
        <v>0</v>
      </c>
      <c r="K52" s="93">
        <f t="shared" si="0"/>
        <v>21000</v>
      </c>
      <c r="L52" s="93">
        <f t="shared" si="1"/>
        <v>15400.000000000002</v>
      </c>
      <c r="M52" s="93">
        <f t="shared" si="2"/>
        <v>14700</v>
      </c>
      <c r="N52" s="64">
        <v>14000</v>
      </c>
      <c r="O52" s="69">
        <v>7096.55</v>
      </c>
      <c r="P52" s="132">
        <f t="shared" si="3"/>
        <v>6903.45</v>
      </c>
      <c r="Q52" s="218">
        <f t="shared" si="4"/>
        <v>23100.000000000004</v>
      </c>
      <c r="R52" s="218">
        <f t="shared" si="6"/>
        <v>16940.000000000004</v>
      </c>
      <c r="S52" s="218">
        <f t="shared" si="7"/>
        <v>16170.000000000002</v>
      </c>
      <c r="T52" s="111">
        <f>N52*1.1</f>
        <v>15400.000000000002</v>
      </c>
      <c r="U52" s="108">
        <f t="shared" si="16"/>
        <v>7806.2050000000008</v>
      </c>
      <c r="V52" s="79">
        <f t="shared" si="17"/>
        <v>7593.795000000001</v>
      </c>
      <c r="W52" s="86">
        <v>6027</v>
      </c>
      <c r="X52" s="244">
        <f t="shared" si="5"/>
        <v>8077.0000000000018</v>
      </c>
      <c r="Y52" s="272">
        <v>7323</v>
      </c>
      <c r="Z52" s="111">
        <f t="shared" si="8"/>
        <v>13050.84745762712</v>
      </c>
    </row>
    <row r="53" spans="1:26" ht="15.75" customHeight="1" thickBot="1" x14ac:dyDescent="0.25">
      <c r="A53" s="718"/>
      <c r="B53" s="173" t="s">
        <v>231</v>
      </c>
      <c r="C53" s="174" t="s">
        <v>88</v>
      </c>
      <c r="D53" s="256" t="s">
        <v>289</v>
      </c>
      <c r="E53" s="176">
        <v>34.200000000000003</v>
      </c>
      <c r="F53" s="176">
        <v>0.4</v>
      </c>
      <c r="G53" s="177"/>
      <c r="H53" s="178">
        <v>0</v>
      </c>
      <c r="I53" s="179">
        <f t="shared" si="14"/>
        <v>0</v>
      </c>
      <c r="J53" s="180">
        <f t="shared" si="15"/>
        <v>0</v>
      </c>
      <c r="K53" s="139">
        <f t="shared" si="0"/>
        <v>24150</v>
      </c>
      <c r="L53" s="139">
        <f t="shared" si="1"/>
        <v>17710</v>
      </c>
      <c r="M53" s="139">
        <f t="shared" si="2"/>
        <v>16905</v>
      </c>
      <c r="N53" s="140">
        <v>16100</v>
      </c>
      <c r="O53" s="141">
        <v>9196.5499999999993</v>
      </c>
      <c r="P53" s="142">
        <f t="shared" si="3"/>
        <v>6903.4500000000007</v>
      </c>
      <c r="Q53" s="219">
        <f t="shared" si="4"/>
        <v>27772.5</v>
      </c>
      <c r="R53" s="219">
        <f t="shared" si="6"/>
        <v>20366.5</v>
      </c>
      <c r="S53" s="219">
        <f t="shared" si="7"/>
        <v>19440.75</v>
      </c>
      <c r="T53" s="111">
        <v>18515</v>
      </c>
      <c r="U53" s="108">
        <f t="shared" si="16"/>
        <v>10116.205</v>
      </c>
      <c r="V53" s="79">
        <f t="shared" si="17"/>
        <v>8398.7950000000001</v>
      </c>
      <c r="W53" s="86">
        <v>6027</v>
      </c>
      <c r="X53" s="244">
        <f t="shared" si="5"/>
        <v>11192</v>
      </c>
      <c r="Y53" s="272">
        <v>7323</v>
      </c>
      <c r="Z53" s="111">
        <f t="shared" si="8"/>
        <v>15690.677966101695</v>
      </c>
    </row>
    <row r="54" spans="1:26" ht="13.5" thickTop="1" x14ac:dyDescent="0.2">
      <c r="A54" s="716" t="s">
        <v>138</v>
      </c>
      <c r="B54" s="21" t="s">
        <v>406</v>
      </c>
      <c r="C54" s="145" t="s">
        <v>10</v>
      </c>
      <c r="D54" s="264"/>
      <c r="E54" s="122">
        <v>14.2</v>
      </c>
      <c r="F54" s="123">
        <v>0.1</v>
      </c>
      <c r="G54" s="123">
        <v>10</v>
      </c>
      <c r="H54" s="124">
        <v>0</v>
      </c>
      <c r="I54" s="125">
        <f t="shared" si="14"/>
        <v>0</v>
      </c>
      <c r="J54" s="126">
        <f t="shared" si="15"/>
        <v>0</v>
      </c>
      <c r="K54" s="127">
        <f t="shared" si="0"/>
        <v>3075</v>
      </c>
      <c r="L54" s="127">
        <f t="shared" si="1"/>
        <v>2255</v>
      </c>
      <c r="M54" s="127">
        <f t="shared" si="2"/>
        <v>2152.5</v>
      </c>
      <c r="N54" s="67">
        <v>2050</v>
      </c>
      <c r="O54" s="128"/>
      <c r="P54" s="132">
        <f t="shared" si="3"/>
        <v>2050</v>
      </c>
      <c r="Q54" s="222">
        <f t="shared" si="4"/>
        <v>3382.5</v>
      </c>
      <c r="R54" s="222">
        <f t="shared" si="6"/>
        <v>2480.5</v>
      </c>
      <c r="S54" s="222">
        <f t="shared" si="7"/>
        <v>2367.75</v>
      </c>
      <c r="T54" s="111">
        <f t="shared" ref="T54:T69" si="18">N54*1.1</f>
        <v>2255</v>
      </c>
      <c r="U54" s="108"/>
      <c r="V54" s="79"/>
      <c r="W54" s="86"/>
      <c r="X54" s="244">
        <f t="shared" si="5"/>
        <v>2255</v>
      </c>
      <c r="Y54" s="272"/>
      <c r="Z54" s="111">
        <f t="shared" si="8"/>
        <v>1911.0169491525426</v>
      </c>
    </row>
    <row r="55" spans="1:26" ht="12.75" x14ac:dyDescent="0.2">
      <c r="A55" s="710"/>
      <c r="B55" s="14" t="s">
        <v>407</v>
      </c>
      <c r="C55" s="8" t="s">
        <v>11</v>
      </c>
      <c r="D55" s="262"/>
      <c r="E55" s="31">
        <v>15.6</v>
      </c>
      <c r="F55" s="3">
        <v>0.1</v>
      </c>
      <c r="G55" s="3">
        <v>10</v>
      </c>
      <c r="H55" s="13">
        <v>0</v>
      </c>
      <c r="I55" s="29">
        <f t="shared" si="14"/>
        <v>0</v>
      </c>
      <c r="J55" s="30">
        <f t="shared" si="15"/>
        <v>0</v>
      </c>
      <c r="K55" s="93">
        <f t="shared" si="0"/>
        <v>3300</v>
      </c>
      <c r="L55" s="93">
        <f t="shared" si="1"/>
        <v>2420</v>
      </c>
      <c r="M55" s="93">
        <f t="shared" si="2"/>
        <v>2310</v>
      </c>
      <c r="N55" s="64">
        <v>2200</v>
      </c>
      <c r="O55" s="69"/>
      <c r="P55" s="132">
        <f t="shared" si="3"/>
        <v>2200</v>
      </c>
      <c r="Q55" s="218">
        <f t="shared" si="4"/>
        <v>3630</v>
      </c>
      <c r="R55" s="218">
        <f t="shared" si="6"/>
        <v>2662</v>
      </c>
      <c r="S55" s="218">
        <f t="shared" si="7"/>
        <v>2541</v>
      </c>
      <c r="T55" s="111">
        <f t="shared" si="18"/>
        <v>2420</v>
      </c>
      <c r="U55" s="108"/>
      <c r="V55" s="79"/>
      <c r="W55" s="86"/>
      <c r="X55" s="244">
        <f t="shared" si="5"/>
        <v>2420</v>
      </c>
      <c r="Y55" s="272"/>
      <c r="Z55" s="111">
        <f t="shared" si="8"/>
        <v>2050.8474576271187</v>
      </c>
    </row>
    <row r="56" spans="1:26" ht="12.75" x14ac:dyDescent="0.2">
      <c r="A56" s="710"/>
      <c r="B56" s="14" t="s">
        <v>28</v>
      </c>
      <c r="C56" s="8" t="s">
        <v>11</v>
      </c>
      <c r="D56" s="262"/>
      <c r="E56" s="5">
        <v>22</v>
      </c>
      <c r="F56" s="3">
        <v>0.1</v>
      </c>
      <c r="G56" s="3">
        <v>10</v>
      </c>
      <c r="H56" s="13">
        <v>0</v>
      </c>
      <c r="I56" s="29">
        <f t="shared" si="14"/>
        <v>0</v>
      </c>
      <c r="J56" s="30">
        <f t="shared" si="15"/>
        <v>0</v>
      </c>
      <c r="K56" s="93">
        <f t="shared" si="0"/>
        <v>4350</v>
      </c>
      <c r="L56" s="93">
        <f t="shared" si="1"/>
        <v>3190.0000000000005</v>
      </c>
      <c r="M56" s="93">
        <f t="shared" si="2"/>
        <v>3045</v>
      </c>
      <c r="N56" s="64">
        <v>2900</v>
      </c>
      <c r="O56" s="69"/>
      <c r="P56" s="132">
        <f t="shared" si="3"/>
        <v>2900</v>
      </c>
      <c r="Q56" s="218">
        <f t="shared" si="4"/>
        <v>4785.0000000000009</v>
      </c>
      <c r="R56" s="218">
        <f t="shared" si="6"/>
        <v>3509.0000000000009</v>
      </c>
      <c r="S56" s="218">
        <f t="shared" si="7"/>
        <v>3349.5000000000005</v>
      </c>
      <c r="T56" s="111">
        <f t="shared" si="18"/>
        <v>3190.0000000000005</v>
      </c>
      <c r="U56" s="108"/>
      <c r="V56" s="79"/>
      <c r="W56" s="86"/>
      <c r="X56" s="244">
        <f t="shared" si="5"/>
        <v>3190.0000000000005</v>
      </c>
      <c r="Y56" s="272"/>
      <c r="Z56" s="111">
        <f t="shared" si="8"/>
        <v>2703.3898305084749</v>
      </c>
    </row>
    <row r="57" spans="1:26" ht="12.75" x14ac:dyDescent="0.2">
      <c r="A57" s="710"/>
      <c r="B57" s="14" t="s">
        <v>408</v>
      </c>
      <c r="C57" s="7" t="s">
        <v>83</v>
      </c>
      <c r="D57" s="277"/>
      <c r="E57" s="5">
        <v>34.5</v>
      </c>
      <c r="F57" s="3">
        <v>0.23</v>
      </c>
      <c r="G57" s="3">
        <v>6</v>
      </c>
      <c r="H57" s="13">
        <v>0</v>
      </c>
      <c r="I57" s="29">
        <f t="shared" si="14"/>
        <v>0</v>
      </c>
      <c r="J57" s="30">
        <f t="shared" si="15"/>
        <v>0</v>
      </c>
      <c r="K57" s="93">
        <f t="shared" si="0"/>
        <v>7725</v>
      </c>
      <c r="L57" s="93">
        <f t="shared" si="1"/>
        <v>5665.0000000000009</v>
      </c>
      <c r="M57" s="93">
        <f t="shared" si="2"/>
        <v>5407.5</v>
      </c>
      <c r="N57" s="64">
        <v>5150</v>
      </c>
      <c r="O57" s="69"/>
      <c r="P57" s="132">
        <f t="shared" si="3"/>
        <v>5150</v>
      </c>
      <c r="Q57" s="218">
        <f t="shared" si="4"/>
        <v>8497.5000000000018</v>
      </c>
      <c r="R57" s="218">
        <f t="shared" si="6"/>
        <v>6231.5000000000018</v>
      </c>
      <c r="S57" s="218">
        <f t="shared" si="7"/>
        <v>5948.2500000000009</v>
      </c>
      <c r="T57" s="111">
        <f t="shared" si="18"/>
        <v>5665.0000000000009</v>
      </c>
      <c r="U57" s="108"/>
      <c r="V57" s="79"/>
      <c r="W57" s="86"/>
      <c r="X57" s="244">
        <f t="shared" si="5"/>
        <v>5665.0000000000009</v>
      </c>
      <c r="Y57" s="272"/>
      <c r="Z57" s="111">
        <f t="shared" si="8"/>
        <v>4800.8474576271201</v>
      </c>
    </row>
    <row r="58" spans="1:26" ht="12.75" x14ac:dyDescent="0.2">
      <c r="A58" s="710"/>
      <c r="B58" s="14" t="s">
        <v>32</v>
      </c>
      <c r="C58" s="7" t="s">
        <v>92</v>
      </c>
      <c r="D58" s="261" t="s">
        <v>281</v>
      </c>
      <c r="E58" s="5">
        <v>26.7</v>
      </c>
      <c r="F58" s="3">
        <v>0.16</v>
      </c>
      <c r="G58" s="3"/>
      <c r="H58" s="13">
        <v>0</v>
      </c>
      <c r="I58" s="29">
        <f t="shared" si="14"/>
        <v>0</v>
      </c>
      <c r="J58" s="30">
        <f t="shared" si="15"/>
        <v>0</v>
      </c>
      <c r="K58" s="93">
        <f t="shared" si="0"/>
        <v>8250</v>
      </c>
      <c r="L58" s="93">
        <f t="shared" si="1"/>
        <v>6050.0000000000009</v>
      </c>
      <c r="M58" s="93">
        <f t="shared" si="2"/>
        <v>5775</v>
      </c>
      <c r="N58" s="64">
        <v>5500</v>
      </c>
      <c r="O58" s="69">
        <v>2940</v>
      </c>
      <c r="P58" s="132">
        <f t="shared" si="3"/>
        <v>2560</v>
      </c>
      <c r="Q58" s="218">
        <f t="shared" si="4"/>
        <v>9075.0000000000018</v>
      </c>
      <c r="R58" s="218">
        <f t="shared" si="6"/>
        <v>6655.0000000000018</v>
      </c>
      <c r="S58" s="218">
        <f t="shared" si="7"/>
        <v>6352.5000000000009</v>
      </c>
      <c r="T58" s="111">
        <f t="shared" si="18"/>
        <v>6050.0000000000009</v>
      </c>
      <c r="U58" s="108">
        <f t="shared" ref="U58:U63" si="19">O58*1.1</f>
        <v>3234.0000000000005</v>
      </c>
      <c r="V58" s="79">
        <f t="shared" si="17"/>
        <v>2816.0000000000005</v>
      </c>
      <c r="W58" s="86">
        <v>2293</v>
      </c>
      <c r="X58" s="244">
        <f t="shared" si="5"/>
        <v>3167.0000000000009</v>
      </c>
      <c r="Y58" s="272">
        <v>2883</v>
      </c>
      <c r="Z58" s="111">
        <f t="shared" si="8"/>
        <v>5127.1186440677975</v>
      </c>
    </row>
    <row r="59" spans="1:26" ht="12.75" x14ac:dyDescent="0.2">
      <c r="A59" s="710"/>
      <c r="B59" s="14" t="s">
        <v>33</v>
      </c>
      <c r="C59" s="7" t="s">
        <v>97</v>
      </c>
      <c r="D59" s="261" t="s">
        <v>281</v>
      </c>
      <c r="E59" s="5">
        <v>26.7</v>
      </c>
      <c r="F59" s="3">
        <v>0.22</v>
      </c>
      <c r="G59" s="3"/>
      <c r="H59" s="13">
        <v>0</v>
      </c>
      <c r="I59" s="29">
        <f t="shared" si="14"/>
        <v>0</v>
      </c>
      <c r="J59" s="30">
        <f t="shared" si="15"/>
        <v>0</v>
      </c>
      <c r="K59" s="93">
        <f t="shared" si="0"/>
        <v>9750</v>
      </c>
      <c r="L59" s="93">
        <f t="shared" si="1"/>
        <v>7150.0000000000009</v>
      </c>
      <c r="M59" s="93">
        <f t="shared" si="2"/>
        <v>6825</v>
      </c>
      <c r="N59" s="64">
        <v>6500</v>
      </c>
      <c r="O59" s="69">
        <v>3940</v>
      </c>
      <c r="P59" s="132">
        <f t="shared" si="3"/>
        <v>2560</v>
      </c>
      <c r="Q59" s="218">
        <f t="shared" si="4"/>
        <v>10725.000000000002</v>
      </c>
      <c r="R59" s="218">
        <f t="shared" si="6"/>
        <v>7865.0000000000018</v>
      </c>
      <c r="S59" s="218">
        <f t="shared" si="7"/>
        <v>7507.5000000000009</v>
      </c>
      <c r="T59" s="111">
        <f t="shared" si="18"/>
        <v>7150.0000000000009</v>
      </c>
      <c r="U59" s="108">
        <f t="shared" si="19"/>
        <v>4334</v>
      </c>
      <c r="V59" s="79">
        <f t="shared" si="17"/>
        <v>2816.0000000000009</v>
      </c>
      <c r="W59" s="86">
        <v>2293</v>
      </c>
      <c r="X59" s="244">
        <f t="shared" si="5"/>
        <v>4267.0000000000009</v>
      </c>
      <c r="Y59" s="272">
        <v>2883</v>
      </c>
      <c r="Z59" s="111">
        <f t="shared" si="8"/>
        <v>6059.3220338983065</v>
      </c>
    </row>
    <row r="60" spans="1:26" ht="12.75" x14ac:dyDescent="0.2">
      <c r="A60" s="710"/>
      <c r="B60" s="14" t="s">
        <v>235</v>
      </c>
      <c r="C60" s="7" t="s">
        <v>94</v>
      </c>
      <c r="D60" s="261" t="s">
        <v>282</v>
      </c>
      <c r="E60" s="5">
        <v>21.5</v>
      </c>
      <c r="F60" s="3">
        <v>0.19</v>
      </c>
      <c r="G60" s="3"/>
      <c r="H60" s="13">
        <v>0</v>
      </c>
      <c r="I60" s="29">
        <f t="shared" si="14"/>
        <v>0</v>
      </c>
      <c r="J60" s="30">
        <f t="shared" si="15"/>
        <v>0</v>
      </c>
      <c r="K60" s="93">
        <f t="shared" si="0"/>
        <v>9150</v>
      </c>
      <c r="L60" s="93">
        <f t="shared" si="1"/>
        <v>6710.0000000000009</v>
      </c>
      <c r="M60" s="93">
        <f t="shared" si="2"/>
        <v>6405</v>
      </c>
      <c r="N60" s="64">
        <v>6100</v>
      </c>
      <c r="O60" s="69">
        <v>3030</v>
      </c>
      <c r="P60" s="132">
        <f t="shared" si="3"/>
        <v>3070</v>
      </c>
      <c r="Q60" s="218">
        <f t="shared" si="4"/>
        <v>10065.000000000002</v>
      </c>
      <c r="R60" s="218">
        <f t="shared" si="6"/>
        <v>7381.0000000000018</v>
      </c>
      <c r="S60" s="218">
        <f t="shared" si="7"/>
        <v>7045.5000000000009</v>
      </c>
      <c r="T60" s="111">
        <f t="shared" si="18"/>
        <v>6710.0000000000009</v>
      </c>
      <c r="U60" s="108">
        <f t="shared" si="19"/>
        <v>3333.0000000000005</v>
      </c>
      <c r="V60" s="79">
        <f t="shared" si="17"/>
        <v>3377.0000000000005</v>
      </c>
      <c r="W60" s="86">
        <v>2736</v>
      </c>
      <c r="X60" s="244">
        <f t="shared" si="5"/>
        <v>3270.0000000000009</v>
      </c>
      <c r="Y60" s="272">
        <v>3440</v>
      </c>
      <c r="Z60" s="111">
        <f t="shared" si="8"/>
        <v>5686.4406779661031</v>
      </c>
    </row>
    <row r="61" spans="1:26" ht="12.75" x14ac:dyDescent="0.2">
      <c r="A61" s="710"/>
      <c r="B61" s="14" t="s">
        <v>236</v>
      </c>
      <c r="C61" s="7" t="s">
        <v>98</v>
      </c>
      <c r="D61" s="261" t="s">
        <v>282</v>
      </c>
      <c r="E61" s="5">
        <v>21.5</v>
      </c>
      <c r="F61" s="3">
        <v>0.24</v>
      </c>
      <c r="G61" s="3"/>
      <c r="H61" s="13">
        <v>0</v>
      </c>
      <c r="I61" s="29">
        <f t="shared" si="14"/>
        <v>0</v>
      </c>
      <c r="J61" s="30">
        <f t="shared" si="15"/>
        <v>0</v>
      </c>
      <c r="K61" s="93">
        <f t="shared" si="0"/>
        <v>10350</v>
      </c>
      <c r="L61" s="93">
        <f t="shared" si="1"/>
        <v>7590.0000000000009</v>
      </c>
      <c r="M61" s="93">
        <f t="shared" si="2"/>
        <v>7245</v>
      </c>
      <c r="N61" s="64">
        <v>6900</v>
      </c>
      <c r="O61" s="69">
        <v>3830</v>
      </c>
      <c r="P61" s="132">
        <f t="shared" si="3"/>
        <v>3070</v>
      </c>
      <c r="Q61" s="218">
        <f t="shared" si="4"/>
        <v>11385.000000000002</v>
      </c>
      <c r="R61" s="218">
        <f t="shared" si="6"/>
        <v>8349.0000000000018</v>
      </c>
      <c r="S61" s="218">
        <f t="shared" si="7"/>
        <v>7969.5000000000009</v>
      </c>
      <c r="T61" s="111">
        <f t="shared" si="18"/>
        <v>7590.0000000000009</v>
      </c>
      <c r="U61" s="108">
        <f t="shared" si="19"/>
        <v>4213</v>
      </c>
      <c r="V61" s="79">
        <f t="shared" si="17"/>
        <v>3377.0000000000009</v>
      </c>
      <c r="W61" s="86">
        <v>2736</v>
      </c>
      <c r="X61" s="244">
        <f t="shared" si="5"/>
        <v>4150.0000000000009</v>
      </c>
      <c r="Y61" s="272">
        <v>3440</v>
      </c>
      <c r="Z61" s="111">
        <f t="shared" si="8"/>
        <v>6432.2033898305099</v>
      </c>
    </row>
    <row r="62" spans="1:26" ht="12.75" x14ac:dyDescent="0.2">
      <c r="A62" s="710"/>
      <c r="B62" s="14" t="s">
        <v>237</v>
      </c>
      <c r="C62" s="7" t="s">
        <v>95</v>
      </c>
      <c r="D62" s="261" t="s">
        <v>283</v>
      </c>
      <c r="E62" s="3">
        <v>25.5</v>
      </c>
      <c r="F62" s="3">
        <v>0.3</v>
      </c>
      <c r="G62" s="34"/>
      <c r="H62" s="13">
        <v>0</v>
      </c>
      <c r="I62" s="29">
        <f t="shared" si="14"/>
        <v>0</v>
      </c>
      <c r="J62" s="30">
        <f t="shared" si="15"/>
        <v>0</v>
      </c>
      <c r="K62" s="93">
        <f t="shared" si="0"/>
        <v>11550</v>
      </c>
      <c r="L62" s="93">
        <f t="shared" si="1"/>
        <v>8470</v>
      </c>
      <c r="M62" s="93">
        <f t="shared" si="2"/>
        <v>8085</v>
      </c>
      <c r="N62" s="64">
        <v>7700</v>
      </c>
      <c r="O62" s="69">
        <v>3756</v>
      </c>
      <c r="P62" s="132">
        <f t="shared" si="3"/>
        <v>3944</v>
      </c>
      <c r="Q62" s="218">
        <f t="shared" si="4"/>
        <v>12705</v>
      </c>
      <c r="R62" s="218">
        <f t="shared" si="6"/>
        <v>9317</v>
      </c>
      <c r="S62" s="218">
        <f t="shared" si="7"/>
        <v>8893.5</v>
      </c>
      <c r="T62" s="111">
        <f t="shared" si="18"/>
        <v>8470</v>
      </c>
      <c r="U62" s="108">
        <f t="shared" si="19"/>
        <v>4131.6000000000004</v>
      </c>
      <c r="V62" s="79">
        <f t="shared" si="17"/>
        <v>4338.3999999999996</v>
      </c>
      <c r="W62" s="86">
        <v>3429</v>
      </c>
      <c r="X62" s="244">
        <f t="shared" si="5"/>
        <v>4157</v>
      </c>
      <c r="Y62" s="272">
        <v>4313</v>
      </c>
      <c r="Z62" s="111">
        <f t="shared" si="8"/>
        <v>7177.9661016949158</v>
      </c>
    </row>
    <row r="63" spans="1:26" ht="13.5" thickBot="1" x14ac:dyDescent="0.25">
      <c r="A63" s="718"/>
      <c r="B63" s="173" t="s">
        <v>238</v>
      </c>
      <c r="C63" s="174" t="s">
        <v>99</v>
      </c>
      <c r="D63" s="256" t="s">
        <v>283</v>
      </c>
      <c r="E63" s="176">
        <v>36</v>
      </c>
      <c r="F63" s="176">
        <v>0.2</v>
      </c>
      <c r="G63" s="177"/>
      <c r="H63" s="178">
        <v>0</v>
      </c>
      <c r="I63" s="179">
        <f t="shared" si="14"/>
        <v>0</v>
      </c>
      <c r="J63" s="180">
        <f t="shared" si="15"/>
        <v>0</v>
      </c>
      <c r="K63" s="139">
        <f t="shared" si="0"/>
        <v>12450</v>
      </c>
      <c r="L63" s="139">
        <f t="shared" si="1"/>
        <v>9130</v>
      </c>
      <c r="M63" s="139">
        <f t="shared" si="2"/>
        <v>8715</v>
      </c>
      <c r="N63" s="140">
        <v>8300</v>
      </c>
      <c r="O63" s="141">
        <v>4356</v>
      </c>
      <c r="P63" s="142">
        <f t="shared" si="3"/>
        <v>3944</v>
      </c>
      <c r="Q63" s="219">
        <f t="shared" si="4"/>
        <v>13695</v>
      </c>
      <c r="R63" s="219">
        <f t="shared" si="6"/>
        <v>10043</v>
      </c>
      <c r="S63" s="219">
        <f t="shared" si="7"/>
        <v>9586.5</v>
      </c>
      <c r="T63" s="144">
        <f t="shared" si="18"/>
        <v>9130</v>
      </c>
      <c r="U63" s="108">
        <f t="shared" si="19"/>
        <v>4791.6000000000004</v>
      </c>
      <c r="V63" s="79">
        <f t="shared" si="17"/>
        <v>4338.3999999999996</v>
      </c>
      <c r="W63" s="86">
        <v>3429</v>
      </c>
      <c r="X63" s="244">
        <f t="shared" si="5"/>
        <v>4817</v>
      </c>
      <c r="Y63" s="272">
        <v>4313</v>
      </c>
      <c r="Z63" s="111">
        <f t="shared" si="8"/>
        <v>7737.2881355932204</v>
      </c>
    </row>
    <row r="64" spans="1:26" ht="13.5" thickTop="1" x14ac:dyDescent="0.2">
      <c r="A64" s="717" t="s">
        <v>139</v>
      </c>
      <c r="B64" s="160" t="s">
        <v>478</v>
      </c>
      <c r="C64" s="161" t="s">
        <v>9</v>
      </c>
      <c r="D64" s="260"/>
      <c r="E64" s="162">
        <v>19.399999999999999</v>
      </c>
      <c r="F64" s="163">
        <v>0.1</v>
      </c>
      <c r="G64" s="163">
        <v>10</v>
      </c>
      <c r="H64" s="164">
        <v>0</v>
      </c>
      <c r="I64" s="165">
        <f t="shared" si="14"/>
        <v>0</v>
      </c>
      <c r="J64" s="166">
        <f t="shared" si="15"/>
        <v>0</v>
      </c>
      <c r="K64" s="167">
        <f t="shared" si="0"/>
        <v>3000</v>
      </c>
      <c r="L64" s="167">
        <f t="shared" si="1"/>
        <v>2200</v>
      </c>
      <c r="M64" s="167">
        <f t="shared" si="2"/>
        <v>2100</v>
      </c>
      <c r="N64" s="168">
        <v>2000</v>
      </c>
      <c r="O64" s="169"/>
      <c r="P64" s="170">
        <f t="shared" si="3"/>
        <v>2000</v>
      </c>
      <c r="Q64" s="221">
        <f t="shared" si="4"/>
        <v>3300</v>
      </c>
      <c r="R64" s="221">
        <f t="shared" si="6"/>
        <v>2420</v>
      </c>
      <c r="S64" s="221">
        <f t="shared" si="7"/>
        <v>2310</v>
      </c>
      <c r="T64" s="172">
        <f t="shared" si="18"/>
        <v>2200</v>
      </c>
      <c r="U64" s="108"/>
      <c r="V64" s="79"/>
      <c r="W64" s="86"/>
      <c r="X64" s="244">
        <f t="shared" si="5"/>
        <v>2200</v>
      </c>
      <c r="Y64" s="272"/>
      <c r="Z64" s="111">
        <f t="shared" si="8"/>
        <v>1864.406779661017</v>
      </c>
    </row>
    <row r="65" spans="1:26" ht="12.75" x14ac:dyDescent="0.2">
      <c r="A65" s="710"/>
      <c r="B65" s="14" t="s">
        <v>479</v>
      </c>
      <c r="C65" s="8" t="s">
        <v>0</v>
      </c>
      <c r="D65" s="262"/>
      <c r="E65" s="5">
        <v>23.5</v>
      </c>
      <c r="F65" s="3">
        <v>0.1</v>
      </c>
      <c r="G65" s="3">
        <v>10</v>
      </c>
      <c r="H65" s="13">
        <v>0</v>
      </c>
      <c r="I65" s="29">
        <f t="shared" si="14"/>
        <v>0</v>
      </c>
      <c r="J65" s="30">
        <f t="shared" si="15"/>
        <v>0</v>
      </c>
      <c r="K65" s="93">
        <f t="shared" si="0"/>
        <v>3300</v>
      </c>
      <c r="L65" s="93">
        <f t="shared" si="1"/>
        <v>2420</v>
      </c>
      <c r="M65" s="93">
        <f t="shared" si="2"/>
        <v>2310</v>
      </c>
      <c r="N65" s="64">
        <v>2200</v>
      </c>
      <c r="O65" s="69"/>
      <c r="P65" s="132">
        <f t="shared" si="3"/>
        <v>2200</v>
      </c>
      <c r="Q65" s="218">
        <f t="shared" si="4"/>
        <v>3630</v>
      </c>
      <c r="R65" s="218">
        <f t="shared" si="6"/>
        <v>2662</v>
      </c>
      <c r="S65" s="218">
        <f t="shared" si="7"/>
        <v>2541</v>
      </c>
      <c r="T65" s="111">
        <f t="shared" si="18"/>
        <v>2420</v>
      </c>
      <c r="U65" s="108"/>
      <c r="V65" s="79"/>
      <c r="W65" s="86"/>
      <c r="X65" s="244">
        <f t="shared" si="5"/>
        <v>2420</v>
      </c>
      <c r="Y65" s="272"/>
      <c r="Z65" s="111">
        <f t="shared" si="8"/>
        <v>2050.8474576271187</v>
      </c>
    </row>
    <row r="66" spans="1:26" ht="12.75" x14ac:dyDescent="0.2">
      <c r="A66" s="710"/>
      <c r="B66" s="14" t="s">
        <v>480</v>
      </c>
      <c r="C66" s="8" t="s">
        <v>15</v>
      </c>
      <c r="D66" s="262"/>
      <c r="E66" s="5">
        <v>25.5</v>
      </c>
      <c r="F66" s="3">
        <v>0.2</v>
      </c>
      <c r="G66" s="3">
        <v>10</v>
      </c>
      <c r="H66" s="13">
        <v>0</v>
      </c>
      <c r="I66" s="29">
        <f t="shared" si="14"/>
        <v>0</v>
      </c>
      <c r="J66" s="30">
        <f t="shared" si="15"/>
        <v>0</v>
      </c>
      <c r="K66" s="93">
        <f t="shared" si="0"/>
        <v>3750</v>
      </c>
      <c r="L66" s="93">
        <f t="shared" si="1"/>
        <v>2750</v>
      </c>
      <c r="M66" s="93">
        <f t="shared" si="2"/>
        <v>2625</v>
      </c>
      <c r="N66" s="64">
        <v>2500</v>
      </c>
      <c r="O66" s="69"/>
      <c r="P66" s="132">
        <f t="shared" si="3"/>
        <v>2500</v>
      </c>
      <c r="Q66" s="218">
        <f t="shared" si="4"/>
        <v>4125</v>
      </c>
      <c r="R66" s="218">
        <f t="shared" si="6"/>
        <v>3025.0000000000005</v>
      </c>
      <c r="S66" s="218">
        <f t="shared" si="7"/>
        <v>2887.5</v>
      </c>
      <c r="T66" s="111">
        <f t="shared" si="18"/>
        <v>2750</v>
      </c>
      <c r="U66" s="108"/>
      <c r="V66" s="79"/>
      <c r="W66" s="86"/>
      <c r="X66" s="244">
        <f t="shared" si="5"/>
        <v>2750</v>
      </c>
      <c r="Y66" s="272"/>
      <c r="Z66" s="111">
        <f t="shared" si="8"/>
        <v>2330.5084745762715</v>
      </c>
    </row>
    <row r="67" spans="1:26" ht="12.75" x14ac:dyDescent="0.2">
      <c r="A67" s="710"/>
      <c r="B67" s="14" t="s">
        <v>307</v>
      </c>
      <c r="C67" s="8" t="s">
        <v>14</v>
      </c>
      <c r="D67" s="262"/>
      <c r="E67" s="5">
        <v>26</v>
      </c>
      <c r="F67" s="3">
        <v>0.2</v>
      </c>
      <c r="G67" s="3">
        <v>10</v>
      </c>
      <c r="H67" s="13">
        <v>0</v>
      </c>
      <c r="I67" s="29">
        <f t="shared" si="14"/>
        <v>0</v>
      </c>
      <c r="J67" s="30">
        <f t="shared" si="15"/>
        <v>0</v>
      </c>
      <c r="K67" s="93">
        <f t="shared" si="0"/>
        <v>4200</v>
      </c>
      <c r="L67" s="93">
        <f t="shared" si="1"/>
        <v>3080.0000000000005</v>
      </c>
      <c r="M67" s="93">
        <f t="shared" si="2"/>
        <v>2940</v>
      </c>
      <c r="N67" s="64">
        <v>2800</v>
      </c>
      <c r="O67" s="69"/>
      <c r="P67" s="132">
        <f t="shared" si="3"/>
        <v>2800</v>
      </c>
      <c r="Q67" s="218">
        <f t="shared" si="4"/>
        <v>4620.0000000000009</v>
      </c>
      <c r="R67" s="218">
        <f t="shared" si="6"/>
        <v>3388.0000000000009</v>
      </c>
      <c r="S67" s="218">
        <f t="shared" si="7"/>
        <v>3234.0000000000005</v>
      </c>
      <c r="T67" s="111">
        <f t="shared" si="18"/>
        <v>3080.0000000000005</v>
      </c>
      <c r="U67" s="108"/>
      <c r="V67" s="79"/>
      <c r="W67" s="86"/>
      <c r="X67" s="244">
        <f t="shared" si="5"/>
        <v>3080.0000000000005</v>
      </c>
      <c r="Y67" s="272"/>
      <c r="Z67" s="111">
        <f t="shared" si="8"/>
        <v>2610.1694915254243</v>
      </c>
    </row>
    <row r="68" spans="1:26" ht="12.75" x14ac:dyDescent="0.2">
      <c r="A68" s="710"/>
      <c r="B68" s="14" t="s">
        <v>481</v>
      </c>
      <c r="C68" s="8" t="s">
        <v>14</v>
      </c>
      <c r="D68" s="262"/>
      <c r="E68" s="5">
        <v>26</v>
      </c>
      <c r="F68" s="3">
        <v>0.2</v>
      </c>
      <c r="G68" s="3">
        <v>10</v>
      </c>
      <c r="H68" s="13">
        <v>0</v>
      </c>
      <c r="I68" s="29">
        <f t="shared" si="14"/>
        <v>0</v>
      </c>
      <c r="J68" s="30">
        <f t="shared" si="15"/>
        <v>0</v>
      </c>
      <c r="K68" s="93">
        <f t="shared" si="0"/>
        <v>3600</v>
      </c>
      <c r="L68" s="93">
        <f t="shared" si="1"/>
        <v>2640</v>
      </c>
      <c r="M68" s="93">
        <f t="shared" si="2"/>
        <v>2520</v>
      </c>
      <c r="N68" s="64">
        <v>2400</v>
      </c>
      <c r="O68" s="69"/>
      <c r="P68" s="132">
        <f t="shared" si="3"/>
        <v>2400</v>
      </c>
      <c r="Q68" s="218">
        <f t="shared" si="4"/>
        <v>3960</v>
      </c>
      <c r="R68" s="218">
        <f t="shared" si="6"/>
        <v>2904.0000000000005</v>
      </c>
      <c r="S68" s="218">
        <f t="shared" si="7"/>
        <v>2772</v>
      </c>
      <c r="T68" s="111">
        <f t="shared" si="18"/>
        <v>2640</v>
      </c>
      <c r="U68" s="108"/>
      <c r="V68" s="79"/>
      <c r="W68" s="86"/>
      <c r="X68" s="244">
        <f t="shared" si="5"/>
        <v>2640</v>
      </c>
      <c r="Y68" s="272"/>
      <c r="Z68" s="111">
        <f t="shared" si="8"/>
        <v>2237.2881355932204</v>
      </c>
    </row>
    <row r="69" spans="1:26" ht="12.75" x14ac:dyDescent="0.2">
      <c r="A69" s="710"/>
      <c r="B69" s="14" t="s">
        <v>381</v>
      </c>
      <c r="C69" s="7" t="s">
        <v>76</v>
      </c>
      <c r="D69" s="277"/>
      <c r="E69" s="5">
        <v>14.5</v>
      </c>
      <c r="F69" s="3">
        <v>0.27</v>
      </c>
      <c r="G69" s="3">
        <v>6</v>
      </c>
      <c r="H69" s="13">
        <v>0</v>
      </c>
      <c r="I69" s="29">
        <f t="shared" si="14"/>
        <v>0</v>
      </c>
      <c r="J69" s="30">
        <f t="shared" si="15"/>
        <v>0</v>
      </c>
      <c r="K69" s="93">
        <f t="shared" si="0"/>
        <v>8100</v>
      </c>
      <c r="L69" s="93">
        <f t="shared" si="1"/>
        <v>5940.0000000000009</v>
      </c>
      <c r="M69" s="93">
        <f t="shared" si="2"/>
        <v>5670</v>
      </c>
      <c r="N69" s="64">
        <v>5400</v>
      </c>
      <c r="O69" s="69"/>
      <c r="P69" s="132">
        <f t="shared" si="3"/>
        <v>5400</v>
      </c>
      <c r="Q69" s="218">
        <f t="shared" si="4"/>
        <v>8910.0000000000018</v>
      </c>
      <c r="R69" s="218">
        <f t="shared" si="6"/>
        <v>6534.0000000000018</v>
      </c>
      <c r="S69" s="218">
        <f t="shared" si="7"/>
        <v>6237.0000000000009</v>
      </c>
      <c r="T69" s="111">
        <f t="shared" si="18"/>
        <v>5940.0000000000009</v>
      </c>
      <c r="U69" s="108"/>
      <c r="V69" s="79"/>
      <c r="W69" s="86"/>
      <c r="X69" s="244">
        <f t="shared" si="5"/>
        <v>5940.0000000000009</v>
      </c>
      <c r="Y69" s="272"/>
      <c r="Z69" s="111">
        <f t="shared" si="8"/>
        <v>5033.8983050847464</v>
      </c>
    </row>
    <row r="70" spans="1:26" ht="12.75" x14ac:dyDescent="0.2">
      <c r="A70" s="710"/>
      <c r="B70" s="14" t="s">
        <v>482</v>
      </c>
      <c r="C70" s="7" t="s">
        <v>76</v>
      </c>
      <c r="D70" s="277"/>
      <c r="E70" s="5">
        <v>14.5</v>
      </c>
      <c r="F70" s="3">
        <v>0.27</v>
      </c>
      <c r="G70" s="3">
        <v>6</v>
      </c>
      <c r="H70" s="13">
        <v>0</v>
      </c>
      <c r="I70" s="29">
        <f t="shared" si="14"/>
        <v>0</v>
      </c>
      <c r="J70" s="30">
        <f t="shared" si="15"/>
        <v>0</v>
      </c>
      <c r="K70" s="93">
        <f t="shared" ref="K70:K133" si="20">N70*1.5</f>
        <v>6870</v>
      </c>
      <c r="L70" s="93">
        <f t="shared" ref="L70:L133" si="21">N70*1.1</f>
        <v>5038</v>
      </c>
      <c r="M70" s="93">
        <f t="shared" ref="M70:M133" si="22">N70*1.05</f>
        <v>4809</v>
      </c>
      <c r="N70" s="64">
        <v>4580</v>
      </c>
      <c r="O70" s="69"/>
      <c r="P70" s="132">
        <f t="shared" ref="P70:P133" si="23">N70-O70</f>
        <v>4580</v>
      </c>
      <c r="Q70" s="218">
        <f t="shared" ref="Q70:Q133" si="24">T70*1.5</f>
        <v>7557</v>
      </c>
      <c r="R70" s="218">
        <f t="shared" si="6"/>
        <v>5541.8</v>
      </c>
      <c r="S70" s="218">
        <f t="shared" si="7"/>
        <v>5289.9000000000005</v>
      </c>
      <c r="T70" s="111">
        <v>5038</v>
      </c>
      <c r="U70" s="108"/>
      <c r="V70" s="79"/>
      <c r="W70" s="86"/>
      <c r="X70" s="244">
        <f t="shared" ref="X70:X133" si="25">T70-Y70</f>
        <v>5038</v>
      </c>
      <c r="Y70" s="272"/>
      <c r="Z70" s="111">
        <f t="shared" si="8"/>
        <v>4269.4915254237294</v>
      </c>
    </row>
    <row r="71" spans="1:26" ht="12.75" x14ac:dyDescent="0.2">
      <c r="A71" s="710"/>
      <c r="B71" s="14" t="s">
        <v>239</v>
      </c>
      <c r="C71" s="7" t="s">
        <v>101</v>
      </c>
      <c r="D71" s="261" t="s">
        <v>281</v>
      </c>
      <c r="E71" s="5">
        <v>19.399999999999999</v>
      </c>
      <c r="F71" s="3">
        <v>0.22</v>
      </c>
      <c r="G71" s="3"/>
      <c r="H71" s="13">
        <v>0</v>
      </c>
      <c r="I71" s="29">
        <f t="shared" si="14"/>
        <v>0</v>
      </c>
      <c r="J71" s="30">
        <f t="shared" si="15"/>
        <v>0</v>
      </c>
      <c r="K71" s="93">
        <f t="shared" si="20"/>
        <v>8850</v>
      </c>
      <c r="L71" s="93">
        <f t="shared" si="21"/>
        <v>6490.0000000000009</v>
      </c>
      <c r="M71" s="93">
        <f t="shared" si="22"/>
        <v>6195</v>
      </c>
      <c r="N71" s="64">
        <v>5900</v>
      </c>
      <c r="O71" s="69">
        <v>3340</v>
      </c>
      <c r="P71" s="132">
        <f t="shared" si="23"/>
        <v>2560</v>
      </c>
      <c r="Q71" s="218">
        <f t="shared" si="24"/>
        <v>9735.0000000000018</v>
      </c>
      <c r="R71" s="218">
        <f t="shared" ref="R71:R134" si="26">T71*1.1</f>
        <v>7139.0000000000018</v>
      </c>
      <c r="S71" s="218">
        <f t="shared" ref="S71:S134" si="27">T71*1.05</f>
        <v>6814.5000000000009</v>
      </c>
      <c r="T71" s="111">
        <f t="shared" ref="T71:U76" si="28">N71*1.1</f>
        <v>6490.0000000000009</v>
      </c>
      <c r="U71" s="108">
        <f t="shared" si="28"/>
        <v>3674.0000000000005</v>
      </c>
      <c r="V71" s="79">
        <f t="shared" si="17"/>
        <v>2816.0000000000005</v>
      </c>
      <c r="W71" s="86">
        <v>2293</v>
      </c>
      <c r="X71" s="244">
        <f t="shared" si="25"/>
        <v>3607.0000000000009</v>
      </c>
      <c r="Y71" s="272">
        <v>2883</v>
      </c>
      <c r="Z71" s="111">
        <f t="shared" ref="Z71:Z134" si="29">T71/1.18</f>
        <v>5500.0000000000009</v>
      </c>
    </row>
    <row r="72" spans="1:26" ht="12.75" x14ac:dyDescent="0.2">
      <c r="A72" s="710"/>
      <c r="B72" s="14" t="s">
        <v>483</v>
      </c>
      <c r="C72" s="7" t="s">
        <v>101</v>
      </c>
      <c r="D72" s="261" t="s">
        <v>281</v>
      </c>
      <c r="E72" s="5">
        <v>19.399999999999999</v>
      </c>
      <c r="F72" s="3">
        <v>0.22</v>
      </c>
      <c r="G72" s="3"/>
      <c r="H72" s="13">
        <v>0</v>
      </c>
      <c r="I72" s="29">
        <f t="shared" si="14"/>
        <v>0</v>
      </c>
      <c r="J72" s="30">
        <f t="shared" si="15"/>
        <v>0</v>
      </c>
      <c r="K72" s="93">
        <f t="shared" si="20"/>
        <v>8250</v>
      </c>
      <c r="L72" s="93">
        <f t="shared" si="21"/>
        <v>6050.0000000000009</v>
      </c>
      <c r="M72" s="93">
        <f t="shared" si="22"/>
        <v>5775</v>
      </c>
      <c r="N72" s="64">
        <v>5500</v>
      </c>
      <c r="O72" s="69">
        <v>2940</v>
      </c>
      <c r="P72" s="132">
        <f t="shared" si="23"/>
        <v>2560</v>
      </c>
      <c r="Q72" s="218">
        <f t="shared" si="24"/>
        <v>9075.0000000000018</v>
      </c>
      <c r="R72" s="218">
        <f t="shared" si="26"/>
        <v>6655.0000000000018</v>
      </c>
      <c r="S72" s="218">
        <f t="shared" si="27"/>
        <v>6352.5000000000009</v>
      </c>
      <c r="T72" s="111">
        <f t="shared" si="28"/>
        <v>6050.0000000000009</v>
      </c>
      <c r="U72" s="108">
        <f t="shared" si="28"/>
        <v>3234.0000000000005</v>
      </c>
      <c r="V72" s="79">
        <f t="shared" si="17"/>
        <v>2816.0000000000005</v>
      </c>
      <c r="W72" s="86">
        <v>2293</v>
      </c>
      <c r="X72" s="244">
        <f t="shared" si="25"/>
        <v>3167.0000000000009</v>
      </c>
      <c r="Y72" s="272">
        <v>2883</v>
      </c>
      <c r="Z72" s="111">
        <f t="shared" si="29"/>
        <v>5127.1186440677975</v>
      </c>
    </row>
    <row r="73" spans="1:26" ht="12.75" x14ac:dyDescent="0.2">
      <c r="A73" s="710"/>
      <c r="B73" s="14" t="s">
        <v>240</v>
      </c>
      <c r="C73" s="7" t="s">
        <v>102</v>
      </c>
      <c r="D73" s="261" t="s">
        <v>282</v>
      </c>
      <c r="E73" s="3">
        <v>32</v>
      </c>
      <c r="F73" s="3">
        <v>0.24</v>
      </c>
      <c r="G73" s="34"/>
      <c r="H73" s="13">
        <v>0</v>
      </c>
      <c r="I73" s="29">
        <f t="shared" si="14"/>
        <v>0</v>
      </c>
      <c r="J73" s="30">
        <f t="shared" si="15"/>
        <v>0</v>
      </c>
      <c r="K73" s="93">
        <f t="shared" si="20"/>
        <v>9525</v>
      </c>
      <c r="L73" s="93">
        <f t="shared" si="21"/>
        <v>6985.0000000000009</v>
      </c>
      <c r="M73" s="93">
        <f t="shared" si="22"/>
        <v>6667.5</v>
      </c>
      <c r="N73" s="64">
        <v>6350</v>
      </c>
      <c r="O73" s="69">
        <v>3280</v>
      </c>
      <c r="P73" s="132">
        <f t="shared" si="23"/>
        <v>3070</v>
      </c>
      <c r="Q73" s="218">
        <f t="shared" si="24"/>
        <v>10477.500000000002</v>
      </c>
      <c r="R73" s="218">
        <f t="shared" si="26"/>
        <v>7683.5000000000018</v>
      </c>
      <c r="S73" s="218">
        <f t="shared" si="27"/>
        <v>7334.2500000000009</v>
      </c>
      <c r="T73" s="111">
        <f t="shared" si="28"/>
        <v>6985.0000000000009</v>
      </c>
      <c r="U73" s="108">
        <f t="shared" si="28"/>
        <v>3608.0000000000005</v>
      </c>
      <c r="V73" s="79">
        <f t="shared" si="17"/>
        <v>3377.0000000000005</v>
      </c>
      <c r="W73" s="86">
        <v>2736</v>
      </c>
      <c r="X73" s="244">
        <f t="shared" si="25"/>
        <v>3545.0000000000009</v>
      </c>
      <c r="Y73" s="272">
        <v>3440</v>
      </c>
      <c r="Z73" s="111">
        <f t="shared" si="29"/>
        <v>5919.4915254237303</v>
      </c>
    </row>
    <row r="74" spans="1:26" ht="12.75" x14ac:dyDescent="0.2">
      <c r="A74" s="710"/>
      <c r="B74" s="14" t="s">
        <v>484</v>
      </c>
      <c r="C74" s="7" t="s">
        <v>102</v>
      </c>
      <c r="D74" s="261" t="s">
        <v>282</v>
      </c>
      <c r="E74" s="3">
        <v>32</v>
      </c>
      <c r="F74" s="3">
        <v>0.24</v>
      </c>
      <c r="G74" s="34"/>
      <c r="H74" s="13">
        <v>0</v>
      </c>
      <c r="I74" s="29">
        <f t="shared" si="14"/>
        <v>0</v>
      </c>
      <c r="J74" s="30">
        <f t="shared" si="15"/>
        <v>0</v>
      </c>
      <c r="K74" s="93">
        <f t="shared" si="20"/>
        <v>8775</v>
      </c>
      <c r="L74" s="93">
        <f t="shared" si="21"/>
        <v>6435.0000000000009</v>
      </c>
      <c r="M74" s="93">
        <f t="shared" si="22"/>
        <v>6142.5</v>
      </c>
      <c r="N74" s="64">
        <v>5850</v>
      </c>
      <c r="O74" s="69">
        <v>2780</v>
      </c>
      <c r="P74" s="132">
        <f t="shared" si="23"/>
        <v>3070</v>
      </c>
      <c r="Q74" s="218">
        <f t="shared" si="24"/>
        <v>9652.5000000000018</v>
      </c>
      <c r="R74" s="218">
        <f t="shared" si="26"/>
        <v>7078.5000000000018</v>
      </c>
      <c r="S74" s="218">
        <f t="shared" si="27"/>
        <v>6756.7500000000009</v>
      </c>
      <c r="T74" s="111">
        <f t="shared" si="28"/>
        <v>6435.0000000000009</v>
      </c>
      <c r="U74" s="108">
        <f t="shared" si="28"/>
        <v>3058.0000000000005</v>
      </c>
      <c r="V74" s="79">
        <f t="shared" si="17"/>
        <v>3377.0000000000005</v>
      </c>
      <c r="W74" s="86">
        <v>2736</v>
      </c>
      <c r="X74" s="244">
        <f t="shared" si="25"/>
        <v>2995.0000000000009</v>
      </c>
      <c r="Y74" s="272">
        <v>3440</v>
      </c>
      <c r="Z74" s="111">
        <f t="shared" si="29"/>
        <v>5453.3898305084758</v>
      </c>
    </row>
    <row r="75" spans="1:26" ht="12.75" x14ac:dyDescent="0.2">
      <c r="A75" s="710"/>
      <c r="B75" s="14" t="s">
        <v>241</v>
      </c>
      <c r="C75" s="7" t="s">
        <v>103</v>
      </c>
      <c r="D75" s="261" t="s">
        <v>283</v>
      </c>
      <c r="E75" s="3">
        <v>35</v>
      </c>
      <c r="F75" s="3">
        <v>0.3</v>
      </c>
      <c r="G75" s="34"/>
      <c r="H75" s="13">
        <v>0</v>
      </c>
      <c r="I75" s="29">
        <f t="shared" si="14"/>
        <v>0</v>
      </c>
      <c r="J75" s="30">
        <f t="shared" si="15"/>
        <v>0</v>
      </c>
      <c r="K75" s="93">
        <f t="shared" si="20"/>
        <v>14250</v>
      </c>
      <c r="L75" s="93">
        <f t="shared" si="21"/>
        <v>10450</v>
      </c>
      <c r="M75" s="93">
        <f t="shared" si="22"/>
        <v>9975</v>
      </c>
      <c r="N75" s="64">
        <v>9500</v>
      </c>
      <c r="O75" s="69">
        <v>5556</v>
      </c>
      <c r="P75" s="132">
        <f t="shared" si="23"/>
        <v>3944</v>
      </c>
      <c r="Q75" s="218">
        <f t="shared" si="24"/>
        <v>15675</v>
      </c>
      <c r="R75" s="218">
        <f t="shared" si="26"/>
        <v>11495.000000000002</v>
      </c>
      <c r="S75" s="218">
        <f t="shared" si="27"/>
        <v>10972.5</v>
      </c>
      <c r="T75" s="111">
        <f t="shared" si="28"/>
        <v>10450</v>
      </c>
      <c r="U75" s="108">
        <f t="shared" si="28"/>
        <v>6111.6</v>
      </c>
      <c r="V75" s="79">
        <f t="shared" si="17"/>
        <v>4338.3999999999996</v>
      </c>
      <c r="W75" s="86">
        <v>3429</v>
      </c>
      <c r="X75" s="244">
        <f t="shared" si="25"/>
        <v>6137</v>
      </c>
      <c r="Y75" s="272">
        <v>4313</v>
      </c>
      <c r="Z75" s="111">
        <f t="shared" si="29"/>
        <v>8855.9322033898316</v>
      </c>
    </row>
    <row r="76" spans="1:26" ht="12.75" x14ac:dyDescent="0.2">
      <c r="A76" s="710"/>
      <c r="B76" s="14" t="s">
        <v>485</v>
      </c>
      <c r="C76" s="7" t="s">
        <v>103</v>
      </c>
      <c r="D76" s="261" t="s">
        <v>283</v>
      </c>
      <c r="E76" s="3">
        <v>35</v>
      </c>
      <c r="F76" s="3">
        <v>0.3</v>
      </c>
      <c r="G76" s="34"/>
      <c r="H76" s="13">
        <v>0</v>
      </c>
      <c r="I76" s="29">
        <f t="shared" si="14"/>
        <v>0</v>
      </c>
      <c r="J76" s="30">
        <f t="shared" si="15"/>
        <v>0</v>
      </c>
      <c r="K76" s="93">
        <f t="shared" si="20"/>
        <v>13200</v>
      </c>
      <c r="L76" s="93">
        <f t="shared" si="21"/>
        <v>9680</v>
      </c>
      <c r="M76" s="93">
        <f t="shared" si="22"/>
        <v>9240</v>
      </c>
      <c r="N76" s="64">
        <v>8800</v>
      </c>
      <c r="O76" s="69">
        <v>4856.7</v>
      </c>
      <c r="P76" s="132">
        <f t="shared" si="23"/>
        <v>3943.3</v>
      </c>
      <c r="Q76" s="218">
        <f t="shared" si="24"/>
        <v>14520</v>
      </c>
      <c r="R76" s="218">
        <f t="shared" si="26"/>
        <v>10648</v>
      </c>
      <c r="S76" s="218">
        <f t="shared" si="27"/>
        <v>10164</v>
      </c>
      <c r="T76" s="111">
        <f t="shared" si="28"/>
        <v>9680</v>
      </c>
      <c r="U76" s="108">
        <f t="shared" si="28"/>
        <v>5342.37</v>
      </c>
      <c r="V76" s="79">
        <f t="shared" si="17"/>
        <v>4337.63</v>
      </c>
      <c r="W76" s="86">
        <v>3429</v>
      </c>
      <c r="X76" s="244">
        <f t="shared" si="25"/>
        <v>5367</v>
      </c>
      <c r="Y76" s="272">
        <v>4313</v>
      </c>
      <c r="Z76" s="111">
        <f t="shared" si="29"/>
        <v>8203.3898305084749</v>
      </c>
    </row>
    <row r="77" spans="1:26" ht="12.75" customHeight="1" x14ac:dyDescent="0.2">
      <c r="A77" s="710"/>
      <c r="B77" s="14" t="s">
        <v>242</v>
      </c>
      <c r="C77" s="7" t="s">
        <v>100</v>
      </c>
      <c r="D77" s="261" t="s">
        <v>290</v>
      </c>
      <c r="E77" s="5">
        <v>43.5</v>
      </c>
      <c r="F77" s="3">
        <v>0.42</v>
      </c>
      <c r="G77" s="3"/>
      <c r="H77" s="13">
        <v>0</v>
      </c>
      <c r="I77" s="29">
        <f t="shared" si="14"/>
        <v>0</v>
      </c>
      <c r="J77" s="30">
        <f t="shared" si="15"/>
        <v>0</v>
      </c>
      <c r="K77" s="93">
        <f t="shared" si="20"/>
        <v>18750</v>
      </c>
      <c r="L77" s="93">
        <f t="shared" si="21"/>
        <v>13750.000000000002</v>
      </c>
      <c r="M77" s="93">
        <f t="shared" si="22"/>
        <v>13125</v>
      </c>
      <c r="N77" s="64">
        <v>12500</v>
      </c>
      <c r="O77" s="69">
        <v>5956.5</v>
      </c>
      <c r="P77" s="132">
        <f t="shared" si="23"/>
        <v>6543.5</v>
      </c>
      <c r="Q77" s="218">
        <f t="shared" si="24"/>
        <v>23575.5</v>
      </c>
      <c r="R77" s="218">
        <f t="shared" si="26"/>
        <v>17288.7</v>
      </c>
      <c r="S77" s="218">
        <f t="shared" si="27"/>
        <v>16502.850000000002</v>
      </c>
      <c r="T77" s="111">
        <v>15717</v>
      </c>
      <c r="U77" s="108">
        <f>O77*1.1</f>
        <v>6552.1500000000005</v>
      </c>
      <c r="V77" s="79">
        <f t="shared" si="17"/>
        <v>9164.8499999999985</v>
      </c>
      <c r="W77" s="86">
        <v>7050</v>
      </c>
      <c r="X77" s="244">
        <f t="shared" si="25"/>
        <v>6552</v>
      </c>
      <c r="Y77" s="272">
        <v>9165</v>
      </c>
      <c r="Z77" s="111">
        <f t="shared" si="29"/>
        <v>13319.491525423729</v>
      </c>
    </row>
    <row r="78" spans="1:26" ht="15" customHeight="1" thickBot="1" x14ac:dyDescent="0.25">
      <c r="A78" s="718"/>
      <c r="B78" s="173" t="s">
        <v>486</v>
      </c>
      <c r="C78" s="174" t="s">
        <v>100</v>
      </c>
      <c r="D78" s="256" t="s">
        <v>290</v>
      </c>
      <c r="E78" s="136">
        <v>43.5</v>
      </c>
      <c r="F78" s="176">
        <v>0.42</v>
      </c>
      <c r="G78" s="176"/>
      <c r="H78" s="178">
        <v>0</v>
      </c>
      <c r="I78" s="179">
        <f t="shared" si="14"/>
        <v>0</v>
      </c>
      <c r="J78" s="180">
        <f t="shared" si="15"/>
        <v>0</v>
      </c>
      <c r="K78" s="139">
        <f t="shared" si="20"/>
        <v>17700</v>
      </c>
      <c r="L78" s="139">
        <f t="shared" si="21"/>
        <v>12980.000000000002</v>
      </c>
      <c r="M78" s="139">
        <f t="shared" si="22"/>
        <v>12390</v>
      </c>
      <c r="N78" s="140">
        <v>11800</v>
      </c>
      <c r="O78" s="141">
        <v>5256.5</v>
      </c>
      <c r="P78" s="142">
        <f t="shared" si="23"/>
        <v>6543.5</v>
      </c>
      <c r="Q78" s="219">
        <f t="shared" si="24"/>
        <v>22420.5</v>
      </c>
      <c r="R78" s="219">
        <f t="shared" si="26"/>
        <v>16441.7</v>
      </c>
      <c r="S78" s="219">
        <f t="shared" si="27"/>
        <v>15694.35</v>
      </c>
      <c r="T78" s="144">
        <v>14947</v>
      </c>
      <c r="U78" s="108">
        <f>O78*1.1</f>
        <v>5782.1500000000005</v>
      </c>
      <c r="V78" s="79">
        <f t="shared" si="17"/>
        <v>9164.8499999999985</v>
      </c>
      <c r="W78" s="86">
        <v>7050</v>
      </c>
      <c r="X78" s="244">
        <f t="shared" si="25"/>
        <v>5782</v>
      </c>
      <c r="Y78" s="272">
        <v>9165</v>
      </c>
      <c r="Z78" s="111">
        <f t="shared" si="29"/>
        <v>12666.949152542373</v>
      </c>
    </row>
    <row r="79" spans="1:26" ht="13.5" thickTop="1" x14ac:dyDescent="0.2">
      <c r="A79" s="717" t="s">
        <v>161</v>
      </c>
      <c r="B79" s="160" t="s">
        <v>409</v>
      </c>
      <c r="C79" s="161" t="s">
        <v>13</v>
      </c>
      <c r="D79" s="260"/>
      <c r="E79" s="162">
        <v>16</v>
      </c>
      <c r="F79" s="163">
        <v>0.09</v>
      </c>
      <c r="G79" s="163">
        <v>20</v>
      </c>
      <c r="H79" s="164">
        <v>0</v>
      </c>
      <c r="I79" s="165">
        <f t="shared" si="14"/>
        <v>0</v>
      </c>
      <c r="J79" s="166">
        <f t="shared" si="15"/>
        <v>0</v>
      </c>
      <c r="K79" s="167">
        <f t="shared" si="20"/>
        <v>4125</v>
      </c>
      <c r="L79" s="167">
        <f t="shared" si="21"/>
        <v>3025.0000000000005</v>
      </c>
      <c r="M79" s="167">
        <f t="shared" si="22"/>
        <v>2887.5</v>
      </c>
      <c r="N79" s="168">
        <v>2750</v>
      </c>
      <c r="O79" s="169"/>
      <c r="P79" s="170">
        <f t="shared" si="23"/>
        <v>2750</v>
      </c>
      <c r="Q79" s="221">
        <f t="shared" si="24"/>
        <v>4537.5000000000009</v>
      </c>
      <c r="R79" s="221">
        <f t="shared" si="26"/>
        <v>3327.5000000000009</v>
      </c>
      <c r="S79" s="221">
        <f t="shared" si="27"/>
        <v>3176.2500000000005</v>
      </c>
      <c r="T79" s="172">
        <f>N79*1.1</f>
        <v>3025.0000000000005</v>
      </c>
      <c r="U79" s="108"/>
      <c r="V79" s="79"/>
      <c r="W79" s="86"/>
      <c r="X79" s="244">
        <f t="shared" si="25"/>
        <v>3025.0000000000005</v>
      </c>
      <c r="Y79" s="272"/>
      <c r="Z79" s="111">
        <f t="shared" si="29"/>
        <v>2563.5593220338988</v>
      </c>
    </row>
    <row r="80" spans="1:26" ht="12.75" x14ac:dyDescent="0.2">
      <c r="A80" s="710"/>
      <c r="B80" s="14" t="s">
        <v>410</v>
      </c>
      <c r="C80" s="7" t="s">
        <v>75</v>
      </c>
      <c r="D80" s="277"/>
      <c r="E80" s="5">
        <v>33</v>
      </c>
      <c r="F80" s="3">
        <v>0.1</v>
      </c>
      <c r="G80" s="3">
        <v>6</v>
      </c>
      <c r="H80" s="13">
        <v>0</v>
      </c>
      <c r="I80" s="29">
        <f t="shared" si="14"/>
        <v>0</v>
      </c>
      <c r="J80" s="30">
        <f t="shared" si="15"/>
        <v>0</v>
      </c>
      <c r="K80" s="93">
        <f t="shared" si="20"/>
        <v>7800</v>
      </c>
      <c r="L80" s="93">
        <f t="shared" si="21"/>
        <v>5720.0000000000009</v>
      </c>
      <c r="M80" s="93">
        <f t="shared" si="22"/>
        <v>5460</v>
      </c>
      <c r="N80" s="64">
        <v>5200</v>
      </c>
      <c r="O80" s="69"/>
      <c r="P80" s="132">
        <f t="shared" si="23"/>
        <v>5200</v>
      </c>
      <c r="Q80" s="218">
        <f t="shared" si="24"/>
        <v>8580.0000000000018</v>
      </c>
      <c r="R80" s="218">
        <f t="shared" si="26"/>
        <v>6292.0000000000018</v>
      </c>
      <c r="S80" s="218">
        <f t="shared" si="27"/>
        <v>6006.0000000000009</v>
      </c>
      <c r="T80" s="111">
        <f>N80*1.1</f>
        <v>5720.0000000000009</v>
      </c>
      <c r="U80" s="108"/>
      <c r="V80" s="79"/>
      <c r="W80" s="86"/>
      <c r="X80" s="244">
        <f t="shared" si="25"/>
        <v>5720.0000000000009</v>
      </c>
      <c r="Y80" s="272"/>
      <c r="Z80" s="111">
        <f t="shared" si="29"/>
        <v>4847.4576271186452</v>
      </c>
    </row>
    <row r="81" spans="1:26" ht="14.25" customHeight="1" thickBot="1" x14ac:dyDescent="0.25">
      <c r="A81" s="718"/>
      <c r="B81" s="173" t="s">
        <v>303</v>
      </c>
      <c r="C81" s="174" t="s">
        <v>92</v>
      </c>
      <c r="D81" s="256" t="s">
        <v>291</v>
      </c>
      <c r="E81" s="176">
        <v>35</v>
      </c>
      <c r="F81" s="176">
        <v>0.17</v>
      </c>
      <c r="G81" s="177"/>
      <c r="H81" s="178">
        <v>0</v>
      </c>
      <c r="I81" s="179">
        <f t="shared" si="14"/>
        <v>0</v>
      </c>
      <c r="J81" s="180">
        <f t="shared" si="15"/>
        <v>0</v>
      </c>
      <c r="K81" s="139">
        <f t="shared" si="20"/>
        <v>6300</v>
      </c>
      <c r="L81" s="139">
        <f t="shared" si="21"/>
        <v>4620</v>
      </c>
      <c r="M81" s="139">
        <f t="shared" si="22"/>
        <v>4410</v>
      </c>
      <c r="N81" s="140">
        <v>4200</v>
      </c>
      <c r="O81" s="141">
        <v>3093.7</v>
      </c>
      <c r="P81" s="142">
        <f t="shared" si="23"/>
        <v>1106.3000000000002</v>
      </c>
      <c r="Q81" s="219">
        <f t="shared" si="24"/>
        <v>7012.5</v>
      </c>
      <c r="R81" s="219">
        <f t="shared" si="26"/>
        <v>5142.5</v>
      </c>
      <c r="S81" s="219">
        <f t="shared" si="27"/>
        <v>4908.75</v>
      </c>
      <c r="T81" s="144">
        <v>4675</v>
      </c>
      <c r="U81" s="108">
        <f>O81*1.1</f>
        <v>3403.07</v>
      </c>
      <c r="V81" s="79">
        <f t="shared" si="17"/>
        <v>1271.9299999999998</v>
      </c>
      <c r="W81" s="86">
        <v>777.2</v>
      </c>
      <c r="X81" s="244">
        <f t="shared" si="25"/>
        <v>3474</v>
      </c>
      <c r="Y81" s="272">
        <v>1201</v>
      </c>
      <c r="Z81" s="111">
        <f t="shared" si="29"/>
        <v>3961.8644067796613</v>
      </c>
    </row>
    <row r="82" spans="1:26" ht="13.5" thickTop="1" x14ac:dyDescent="0.2">
      <c r="A82" s="719" t="s">
        <v>153</v>
      </c>
      <c r="B82" s="201" t="s">
        <v>487</v>
      </c>
      <c r="C82" s="202" t="s">
        <v>12</v>
      </c>
      <c r="D82" s="265"/>
      <c r="E82" s="203"/>
      <c r="F82" s="203">
        <v>9.5000000000000001E-2</v>
      </c>
      <c r="G82" s="203">
        <v>10</v>
      </c>
      <c r="H82" s="164">
        <v>0</v>
      </c>
      <c r="I82" s="203">
        <f t="shared" si="14"/>
        <v>0</v>
      </c>
      <c r="J82" s="204">
        <f t="shared" si="15"/>
        <v>0</v>
      </c>
      <c r="K82" s="167">
        <f t="shared" si="20"/>
        <v>3750</v>
      </c>
      <c r="L82" s="167">
        <f t="shared" si="21"/>
        <v>2750</v>
      </c>
      <c r="M82" s="167">
        <f t="shared" si="22"/>
        <v>2625</v>
      </c>
      <c r="N82" s="168">
        <v>2500</v>
      </c>
      <c r="O82" s="169"/>
      <c r="P82" s="170">
        <f t="shared" si="23"/>
        <v>2500</v>
      </c>
      <c r="Q82" s="221">
        <f t="shared" si="24"/>
        <v>4125</v>
      </c>
      <c r="R82" s="221">
        <f t="shared" si="26"/>
        <v>3025.0000000000005</v>
      </c>
      <c r="S82" s="221">
        <f t="shared" si="27"/>
        <v>2887.5</v>
      </c>
      <c r="T82" s="172">
        <f>N82*1.1</f>
        <v>2750</v>
      </c>
      <c r="U82" s="108"/>
      <c r="V82" s="79"/>
      <c r="W82" s="86"/>
      <c r="X82" s="244">
        <f t="shared" si="25"/>
        <v>2750</v>
      </c>
      <c r="Y82" s="272"/>
      <c r="Z82" s="111">
        <f t="shared" si="29"/>
        <v>2330.5084745762715</v>
      </c>
    </row>
    <row r="83" spans="1:26" ht="12.75" x14ac:dyDescent="0.2">
      <c r="A83" s="713"/>
      <c r="B83" s="48" t="s">
        <v>488</v>
      </c>
      <c r="C83" s="40"/>
      <c r="D83" s="259"/>
      <c r="E83" s="36"/>
      <c r="F83" s="117"/>
      <c r="G83" s="117"/>
      <c r="H83" s="37"/>
      <c r="I83" s="38"/>
      <c r="J83" s="81"/>
      <c r="K83" s="94">
        <f>N83*1.5</f>
        <v>0</v>
      </c>
      <c r="L83" s="94">
        <f>N83*1.1</f>
        <v>0</v>
      </c>
      <c r="M83" s="94">
        <f>N83*1.05</f>
        <v>0</v>
      </c>
      <c r="N83" s="82"/>
      <c r="O83" s="83"/>
      <c r="P83" s="189">
        <f>N83-O83</f>
        <v>0</v>
      </c>
      <c r="Q83" s="223">
        <f>T83*1.5</f>
        <v>5362.5</v>
      </c>
      <c r="R83" s="223">
        <f>T83*1.1</f>
        <v>3932.5000000000005</v>
      </c>
      <c r="S83" s="224">
        <f>T83*1.05</f>
        <v>3753.75</v>
      </c>
      <c r="T83" s="118">
        <v>3575</v>
      </c>
      <c r="U83" s="119">
        <f>O83*1.1</f>
        <v>0</v>
      </c>
      <c r="V83" s="89">
        <f>T83-U83</f>
        <v>3575</v>
      </c>
      <c r="W83" s="90"/>
      <c r="X83" s="244">
        <f t="shared" si="25"/>
        <v>3575</v>
      </c>
      <c r="Y83" s="272"/>
      <c r="Z83" s="111">
        <f t="shared" si="29"/>
        <v>3029.6610169491528</v>
      </c>
    </row>
    <row r="84" spans="1:26" ht="12.75" x14ac:dyDescent="0.2">
      <c r="A84" s="713"/>
      <c r="B84" s="48" t="s">
        <v>489</v>
      </c>
      <c r="C84" s="52" t="s">
        <v>75</v>
      </c>
      <c r="D84" s="280"/>
      <c r="E84" s="27"/>
      <c r="F84" s="27">
        <v>0.23</v>
      </c>
      <c r="G84" s="27">
        <v>6</v>
      </c>
      <c r="H84" s="13">
        <v>0</v>
      </c>
      <c r="I84" s="27">
        <f t="shared" si="14"/>
        <v>0</v>
      </c>
      <c r="J84" s="28">
        <f t="shared" si="15"/>
        <v>0</v>
      </c>
      <c r="K84" s="93">
        <f t="shared" si="20"/>
        <v>9750</v>
      </c>
      <c r="L84" s="93">
        <f t="shared" si="21"/>
        <v>7150.0000000000009</v>
      </c>
      <c r="M84" s="93">
        <f t="shared" si="22"/>
        <v>6825</v>
      </c>
      <c r="N84" s="64">
        <v>6500</v>
      </c>
      <c r="O84" s="69"/>
      <c r="P84" s="132">
        <f t="shared" si="23"/>
        <v>6500</v>
      </c>
      <c r="Q84" s="218">
        <f t="shared" si="24"/>
        <v>10725.000000000002</v>
      </c>
      <c r="R84" s="218">
        <f t="shared" si="26"/>
        <v>7865.0000000000018</v>
      </c>
      <c r="S84" s="218">
        <f t="shared" si="27"/>
        <v>7507.5000000000009</v>
      </c>
      <c r="T84" s="111">
        <f>N84*1.1</f>
        <v>7150.0000000000009</v>
      </c>
      <c r="U84" s="108"/>
      <c r="V84" s="79"/>
      <c r="W84" s="86"/>
      <c r="X84" s="244">
        <f t="shared" si="25"/>
        <v>7150.0000000000009</v>
      </c>
      <c r="Y84" s="272"/>
      <c r="Z84" s="111">
        <f t="shared" si="29"/>
        <v>6059.3220338983065</v>
      </c>
    </row>
    <row r="85" spans="1:26" ht="15" customHeight="1" x14ac:dyDescent="0.2">
      <c r="A85" s="713"/>
      <c r="B85" s="48" t="s">
        <v>490</v>
      </c>
      <c r="C85" s="52" t="s">
        <v>90</v>
      </c>
      <c r="D85" s="261" t="s">
        <v>291</v>
      </c>
      <c r="E85" s="27"/>
      <c r="F85" s="27">
        <v>0.17</v>
      </c>
      <c r="G85" s="27"/>
      <c r="H85" s="13">
        <v>0</v>
      </c>
      <c r="I85" s="27">
        <f>H85*E85</f>
        <v>0</v>
      </c>
      <c r="J85" s="28">
        <f>F85*H85</f>
        <v>0</v>
      </c>
      <c r="K85" s="93">
        <f>N85*1.5</f>
        <v>12750</v>
      </c>
      <c r="L85" s="93">
        <f>N85*1.1</f>
        <v>9350</v>
      </c>
      <c r="M85" s="93">
        <f>N85*1.05</f>
        <v>8925</v>
      </c>
      <c r="N85" s="64">
        <v>8500</v>
      </c>
      <c r="O85" s="69">
        <v>7394</v>
      </c>
      <c r="P85" s="132">
        <f>N85-O85</f>
        <v>1106</v>
      </c>
      <c r="Q85" s="218">
        <f>T85*1.5</f>
        <v>8992.5</v>
      </c>
      <c r="R85" s="218">
        <f>T85*1.1</f>
        <v>6594.5000000000009</v>
      </c>
      <c r="S85" s="218">
        <f>T85*1.05</f>
        <v>6294.75</v>
      </c>
      <c r="T85" s="111">
        <v>5995</v>
      </c>
      <c r="U85" s="119" t="e">
        <f>#REF!*1.1</f>
        <v>#REF!</v>
      </c>
      <c r="V85" s="89" t="e">
        <f>#REF!-U85</f>
        <v>#REF!</v>
      </c>
      <c r="W85" s="90"/>
      <c r="X85" s="244">
        <f t="shared" si="25"/>
        <v>4794</v>
      </c>
      <c r="Y85" s="272">
        <v>1201</v>
      </c>
      <c r="Z85" s="111">
        <f t="shared" si="29"/>
        <v>5080.5084745762715</v>
      </c>
    </row>
    <row r="86" spans="1:26" ht="13.5" thickBot="1" x14ac:dyDescent="0.25">
      <c r="A86" s="720"/>
      <c r="B86" s="134" t="s">
        <v>491</v>
      </c>
      <c r="C86" s="174" t="s">
        <v>91</v>
      </c>
      <c r="D86" s="281"/>
      <c r="E86" s="192"/>
      <c r="F86" s="177"/>
      <c r="G86" s="177"/>
      <c r="H86" s="206"/>
      <c r="I86" s="194"/>
      <c r="J86" s="195"/>
      <c r="K86" s="196"/>
      <c r="L86" s="196"/>
      <c r="M86" s="196"/>
      <c r="N86" s="197"/>
      <c r="O86" s="198"/>
      <c r="P86" s="199"/>
      <c r="Q86" s="219">
        <f>T86*1.5</f>
        <v>14025</v>
      </c>
      <c r="R86" s="219">
        <f>T86*1.1</f>
        <v>10285</v>
      </c>
      <c r="S86" s="219">
        <f>T86*1.05</f>
        <v>9817.5</v>
      </c>
      <c r="T86" s="144">
        <v>9350</v>
      </c>
      <c r="U86" s="108">
        <f>O85*1.1</f>
        <v>8133.4000000000005</v>
      </c>
      <c r="V86" s="79">
        <f>T85-U86</f>
        <v>-2138.4000000000005</v>
      </c>
      <c r="W86" s="86">
        <v>777.2</v>
      </c>
      <c r="X86" s="244">
        <f t="shared" si="25"/>
        <v>9350</v>
      </c>
      <c r="Y86" s="272"/>
      <c r="Z86" s="111">
        <f t="shared" si="29"/>
        <v>7923.7288135593226</v>
      </c>
    </row>
    <row r="87" spans="1:26" ht="13.5" thickTop="1" x14ac:dyDescent="0.2">
      <c r="A87" s="717" t="s">
        <v>154</v>
      </c>
      <c r="B87" s="160" t="s">
        <v>492</v>
      </c>
      <c r="C87" s="181" t="s">
        <v>62</v>
      </c>
      <c r="D87" s="278"/>
      <c r="E87" s="207">
        <v>16.5</v>
      </c>
      <c r="F87" s="163">
        <v>0.1</v>
      </c>
      <c r="G87" s="163">
        <v>10</v>
      </c>
      <c r="H87" s="164">
        <v>0</v>
      </c>
      <c r="I87" s="165">
        <f t="shared" si="14"/>
        <v>0</v>
      </c>
      <c r="J87" s="166">
        <f t="shared" si="15"/>
        <v>0</v>
      </c>
      <c r="K87" s="167">
        <f t="shared" si="20"/>
        <v>2400</v>
      </c>
      <c r="L87" s="167">
        <f t="shared" si="21"/>
        <v>1760.0000000000002</v>
      </c>
      <c r="M87" s="167">
        <f t="shared" si="22"/>
        <v>1680</v>
      </c>
      <c r="N87" s="168">
        <v>1600</v>
      </c>
      <c r="O87" s="169"/>
      <c r="P87" s="170">
        <f t="shared" si="23"/>
        <v>1600</v>
      </c>
      <c r="Q87" s="221">
        <f t="shared" si="24"/>
        <v>3525</v>
      </c>
      <c r="R87" s="221">
        <f t="shared" si="26"/>
        <v>2585</v>
      </c>
      <c r="S87" s="221">
        <f t="shared" si="27"/>
        <v>2467.5</v>
      </c>
      <c r="T87" s="172">
        <v>2350</v>
      </c>
      <c r="U87" s="108"/>
      <c r="V87" s="79"/>
      <c r="W87" s="86"/>
      <c r="X87" s="244">
        <f t="shared" si="25"/>
        <v>2350</v>
      </c>
      <c r="Y87" s="272"/>
      <c r="Z87" s="111">
        <f t="shared" si="29"/>
        <v>1991.5254237288136</v>
      </c>
    </row>
    <row r="88" spans="1:26" s="26" customFormat="1" ht="18" customHeight="1" thickBot="1" x14ac:dyDescent="0.25">
      <c r="A88" s="718"/>
      <c r="B88" s="173" t="s">
        <v>493</v>
      </c>
      <c r="C88" s="174" t="s">
        <v>104</v>
      </c>
      <c r="D88" s="256" t="s">
        <v>285</v>
      </c>
      <c r="E88" s="136">
        <v>14.2</v>
      </c>
      <c r="F88" s="176">
        <v>0.12</v>
      </c>
      <c r="G88" s="176"/>
      <c r="H88" s="178">
        <v>0</v>
      </c>
      <c r="I88" s="179">
        <f t="shared" si="14"/>
        <v>0</v>
      </c>
      <c r="J88" s="180">
        <f t="shared" si="15"/>
        <v>0</v>
      </c>
      <c r="K88" s="139">
        <f t="shared" si="20"/>
        <v>4200</v>
      </c>
      <c r="L88" s="139">
        <f t="shared" si="21"/>
        <v>3080.0000000000005</v>
      </c>
      <c r="M88" s="139">
        <f t="shared" si="22"/>
        <v>2940</v>
      </c>
      <c r="N88" s="140">
        <v>2800</v>
      </c>
      <c r="O88" s="141">
        <v>1691</v>
      </c>
      <c r="P88" s="142">
        <f t="shared" si="23"/>
        <v>1109</v>
      </c>
      <c r="Q88" s="219">
        <f t="shared" si="24"/>
        <v>4732.5</v>
      </c>
      <c r="R88" s="219">
        <f t="shared" si="26"/>
        <v>3470.5000000000005</v>
      </c>
      <c r="S88" s="219">
        <f t="shared" si="27"/>
        <v>3312.75</v>
      </c>
      <c r="T88" s="144">
        <v>3155</v>
      </c>
      <c r="U88" s="108">
        <f>O88*1.1</f>
        <v>1860.1000000000001</v>
      </c>
      <c r="V88" s="79">
        <f t="shared" si="17"/>
        <v>1294.8999999999999</v>
      </c>
      <c r="W88" s="86">
        <v>780</v>
      </c>
      <c r="X88" s="244">
        <f t="shared" si="25"/>
        <v>1950</v>
      </c>
      <c r="Y88" s="272">
        <v>1205</v>
      </c>
      <c r="Z88" s="111">
        <f t="shared" si="29"/>
        <v>2673.7288135593221</v>
      </c>
    </row>
    <row r="89" spans="1:26" ht="13.5" thickTop="1" x14ac:dyDescent="0.2">
      <c r="A89" s="717" t="s">
        <v>155</v>
      </c>
      <c r="B89" s="160" t="s">
        <v>29</v>
      </c>
      <c r="C89" s="181" t="s">
        <v>63</v>
      </c>
      <c r="D89" s="278"/>
      <c r="E89" s="162">
        <v>9</v>
      </c>
      <c r="F89" s="163">
        <v>6.7000000000000004E-2</v>
      </c>
      <c r="G89" s="163">
        <v>10</v>
      </c>
      <c r="H89" s="164">
        <v>0</v>
      </c>
      <c r="I89" s="165">
        <f t="shared" si="14"/>
        <v>0</v>
      </c>
      <c r="J89" s="166">
        <f t="shared" si="15"/>
        <v>0</v>
      </c>
      <c r="K89" s="167">
        <f t="shared" si="20"/>
        <v>2047.5</v>
      </c>
      <c r="L89" s="167">
        <f t="shared" si="21"/>
        <v>1501.5000000000002</v>
      </c>
      <c r="M89" s="167">
        <f t="shared" si="22"/>
        <v>1433.25</v>
      </c>
      <c r="N89" s="168">
        <v>1365</v>
      </c>
      <c r="O89" s="169"/>
      <c r="P89" s="170">
        <f t="shared" si="23"/>
        <v>1365</v>
      </c>
      <c r="Q89" s="221">
        <f t="shared" si="24"/>
        <v>2265</v>
      </c>
      <c r="R89" s="221">
        <f t="shared" si="26"/>
        <v>1661.0000000000002</v>
      </c>
      <c r="S89" s="221">
        <f t="shared" si="27"/>
        <v>1585.5</v>
      </c>
      <c r="T89" s="172">
        <v>1510</v>
      </c>
      <c r="U89" s="108"/>
      <c r="V89" s="79"/>
      <c r="W89" s="86"/>
      <c r="X89" s="244">
        <f t="shared" si="25"/>
        <v>1510</v>
      </c>
      <c r="Y89" s="272"/>
      <c r="Z89" s="111">
        <f t="shared" si="29"/>
        <v>1279.6610169491526</v>
      </c>
    </row>
    <row r="90" spans="1:26" ht="12.75" x14ac:dyDescent="0.2">
      <c r="A90" s="710"/>
      <c r="B90" s="14" t="s">
        <v>30</v>
      </c>
      <c r="C90" s="7" t="s">
        <v>64</v>
      </c>
      <c r="D90" s="277"/>
      <c r="E90" s="5">
        <v>10</v>
      </c>
      <c r="F90" s="3">
        <v>7.0000000000000007E-2</v>
      </c>
      <c r="G90" s="3">
        <v>10</v>
      </c>
      <c r="H90" s="13">
        <v>0</v>
      </c>
      <c r="I90" s="29">
        <f t="shared" ref="I90:I137" si="30">H90*E90</f>
        <v>0</v>
      </c>
      <c r="J90" s="30">
        <f t="shared" ref="J90:J137" si="31">F90*H90</f>
        <v>0</v>
      </c>
      <c r="K90" s="93">
        <f t="shared" si="20"/>
        <v>2205</v>
      </c>
      <c r="L90" s="93">
        <f t="shared" si="21"/>
        <v>1617.0000000000002</v>
      </c>
      <c r="M90" s="93">
        <f t="shared" si="22"/>
        <v>1543.5</v>
      </c>
      <c r="N90" s="64">
        <v>1470</v>
      </c>
      <c r="O90" s="69"/>
      <c r="P90" s="132">
        <f t="shared" si="23"/>
        <v>1470</v>
      </c>
      <c r="Q90" s="218">
        <f t="shared" si="24"/>
        <v>2430</v>
      </c>
      <c r="R90" s="218">
        <f t="shared" si="26"/>
        <v>1782.0000000000002</v>
      </c>
      <c r="S90" s="218">
        <f t="shared" si="27"/>
        <v>1701</v>
      </c>
      <c r="T90" s="111">
        <v>1620</v>
      </c>
      <c r="U90" s="108"/>
      <c r="V90" s="79"/>
      <c r="W90" s="86"/>
      <c r="X90" s="244">
        <f t="shared" si="25"/>
        <v>1620</v>
      </c>
      <c r="Y90" s="272"/>
      <c r="Z90" s="111">
        <f t="shared" si="29"/>
        <v>1372.8813559322034</v>
      </c>
    </row>
    <row r="91" spans="1:26" ht="12.75" x14ac:dyDescent="0.2">
      <c r="A91" s="710"/>
      <c r="B91" s="14" t="s">
        <v>384</v>
      </c>
      <c r="C91" s="7" t="s">
        <v>77</v>
      </c>
      <c r="D91" s="277"/>
      <c r="E91" s="5">
        <v>32</v>
      </c>
      <c r="F91" s="3">
        <v>0.2</v>
      </c>
      <c r="G91" s="3">
        <v>6</v>
      </c>
      <c r="H91" s="13">
        <v>0</v>
      </c>
      <c r="I91" s="29">
        <f t="shared" si="30"/>
        <v>0</v>
      </c>
      <c r="J91" s="30">
        <f t="shared" si="31"/>
        <v>0</v>
      </c>
      <c r="K91" s="93">
        <f t="shared" si="20"/>
        <v>6840</v>
      </c>
      <c r="L91" s="93">
        <f t="shared" si="21"/>
        <v>5016</v>
      </c>
      <c r="M91" s="93">
        <f t="shared" si="22"/>
        <v>4788</v>
      </c>
      <c r="N91" s="64">
        <v>4560</v>
      </c>
      <c r="O91" s="69"/>
      <c r="P91" s="132">
        <f t="shared" si="23"/>
        <v>4560</v>
      </c>
      <c r="Q91" s="218">
        <f t="shared" si="24"/>
        <v>7530</v>
      </c>
      <c r="R91" s="218">
        <f t="shared" si="26"/>
        <v>5522</v>
      </c>
      <c r="S91" s="218">
        <f t="shared" si="27"/>
        <v>5271</v>
      </c>
      <c r="T91" s="111">
        <v>5020</v>
      </c>
      <c r="U91" s="108"/>
      <c r="V91" s="79"/>
      <c r="W91" s="86"/>
      <c r="X91" s="244">
        <f t="shared" si="25"/>
        <v>5020</v>
      </c>
      <c r="Y91" s="272"/>
      <c r="Z91" s="111">
        <f t="shared" si="29"/>
        <v>4254.2372881355932</v>
      </c>
    </row>
    <row r="92" spans="1:26" ht="17.25" customHeight="1" x14ac:dyDescent="0.2">
      <c r="A92" s="710"/>
      <c r="B92" s="14" t="s">
        <v>317</v>
      </c>
      <c r="C92" s="7" t="s">
        <v>104</v>
      </c>
      <c r="D92" s="261" t="s">
        <v>285</v>
      </c>
      <c r="E92" s="3">
        <v>14</v>
      </c>
      <c r="F92" s="3">
        <v>0.12</v>
      </c>
      <c r="G92" s="34"/>
      <c r="H92" s="13">
        <v>0</v>
      </c>
      <c r="I92" s="29">
        <f t="shared" si="30"/>
        <v>0</v>
      </c>
      <c r="J92" s="30">
        <f t="shared" si="31"/>
        <v>0</v>
      </c>
      <c r="K92" s="93">
        <f t="shared" si="20"/>
        <v>5670</v>
      </c>
      <c r="L92" s="93">
        <f t="shared" si="21"/>
        <v>4158</v>
      </c>
      <c r="M92" s="93">
        <f t="shared" si="22"/>
        <v>3969</v>
      </c>
      <c r="N92" s="64">
        <v>3780</v>
      </c>
      <c r="O92" s="69">
        <v>2671.4</v>
      </c>
      <c r="P92" s="132">
        <f t="shared" si="23"/>
        <v>1108.5999999999999</v>
      </c>
      <c r="Q92" s="218">
        <f t="shared" si="24"/>
        <v>6322.5</v>
      </c>
      <c r="R92" s="218">
        <f t="shared" si="26"/>
        <v>4636.5</v>
      </c>
      <c r="S92" s="218">
        <f t="shared" si="27"/>
        <v>4425.75</v>
      </c>
      <c r="T92" s="111">
        <v>4215</v>
      </c>
      <c r="U92" s="108">
        <f>O92*1.1</f>
        <v>2938.5400000000004</v>
      </c>
      <c r="V92" s="79">
        <f>T92-U92</f>
        <v>1276.4599999999996</v>
      </c>
      <c r="W92" s="86">
        <v>780</v>
      </c>
      <c r="X92" s="244">
        <f t="shared" si="25"/>
        <v>3010</v>
      </c>
      <c r="Y92" s="272">
        <v>1205</v>
      </c>
      <c r="Z92" s="111">
        <f t="shared" si="29"/>
        <v>3572.0338983050851</v>
      </c>
    </row>
    <row r="93" spans="1:26" ht="24" customHeight="1" thickBot="1" x14ac:dyDescent="0.25">
      <c r="A93" s="718"/>
      <c r="B93" s="173" t="s">
        <v>318</v>
      </c>
      <c r="C93" s="174" t="s">
        <v>365</v>
      </c>
      <c r="D93" s="256" t="s">
        <v>286</v>
      </c>
      <c r="E93" s="176">
        <v>16.5</v>
      </c>
      <c r="F93" s="176">
        <v>0.17</v>
      </c>
      <c r="G93" s="177"/>
      <c r="H93" s="178">
        <v>0</v>
      </c>
      <c r="I93" s="179">
        <f t="shared" si="30"/>
        <v>0</v>
      </c>
      <c r="J93" s="180">
        <f t="shared" si="31"/>
        <v>0</v>
      </c>
      <c r="K93" s="139">
        <f t="shared" si="20"/>
        <v>6000</v>
      </c>
      <c r="L93" s="139">
        <f t="shared" si="21"/>
        <v>4400</v>
      </c>
      <c r="M93" s="139">
        <f t="shared" si="22"/>
        <v>4200</v>
      </c>
      <c r="N93" s="140">
        <v>4000</v>
      </c>
      <c r="O93" s="141">
        <v>2846.55</v>
      </c>
      <c r="P93" s="142">
        <f t="shared" si="23"/>
        <v>1153.4499999999998</v>
      </c>
      <c r="Q93" s="219">
        <f t="shared" si="24"/>
        <v>6690</v>
      </c>
      <c r="R93" s="219">
        <f t="shared" si="26"/>
        <v>4906</v>
      </c>
      <c r="S93" s="219">
        <f t="shared" si="27"/>
        <v>4683</v>
      </c>
      <c r="T93" s="144">
        <v>4460</v>
      </c>
      <c r="U93" s="108">
        <f>O93*1.1</f>
        <v>3131.2050000000004</v>
      </c>
      <c r="V93" s="79">
        <f>T93-U93</f>
        <v>1328.7949999999996</v>
      </c>
      <c r="W93" s="86"/>
      <c r="X93" s="244">
        <f t="shared" si="25"/>
        <v>3170</v>
      </c>
      <c r="Y93" s="272">
        <v>1290</v>
      </c>
      <c r="Z93" s="111">
        <f t="shared" si="29"/>
        <v>3779.6610169491528</v>
      </c>
    </row>
    <row r="94" spans="1:26" ht="13.5" thickTop="1" x14ac:dyDescent="0.2">
      <c r="A94" s="717" t="s">
        <v>156</v>
      </c>
      <c r="B94" s="160" t="s">
        <v>31</v>
      </c>
      <c r="C94" s="181" t="s">
        <v>65</v>
      </c>
      <c r="D94" s="278"/>
      <c r="E94" s="162">
        <v>8</v>
      </c>
      <c r="F94" s="163">
        <v>9.5000000000000001E-2</v>
      </c>
      <c r="G94" s="163">
        <v>10</v>
      </c>
      <c r="H94" s="164">
        <v>0</v>
      </c>
      <c r="I94" s="165">
        <f t="shared" si="30"/>
        <v>0</v>
      </c>
      <c r="J94" s="166">
        <f t="shared" si="31"/>
        <v>0</v>
      </c>
      <c r="K94" s="167">
        <f t="shared" si="20"/>
        <v>982.5</v>
      </c>
      <c r="L94" s="167">
        <f t="shared" si="21"/>
        <v>720.50000000000011</v>
      </c>
      <c r="M94" s="167">
        <f t="shared" si="22"/>
        <v>687.75</v>
      </c>
      <c r="N94" s="168">
        <v>655</v>
      </c>
      <c r="O94" s="169"/>
      <c r="P94" s="170">
        <f t="shared" si="23"/>
        <v>655</v>
      </c>
      <c r="Q94" s="221">
        <f t="shared" si="24"/>
        <v>1132.5</v>
      </c>
      <c r="R94" s="221">
        <f t="shared" si="26"/>
        <v>830.50000000000011</v>
      </c>
      <c r="S94" s="221">
        <f t="shared" si="27"/>
        <v>792.75</v>
      </c>
      <c r="T94" s="172">
        <v>755</v>
      </c>
      <c r="U94" s="108"/>
      <c r="V94" s="79"/>
      <c r="W94" s="86"/>
      <c r="X94" s="244">
        <f t="shared" si="25"/>
        <v>755</v>
      </c>
      <c r="Y94" s="272"/>
      <c r="Z94" s="111">
        <f t="shared" si="29"/>
        <v>639.83050847457628</v>
      </c>
    </row>
    <row r="95" spans="1:26" ht="12.75" x14ac:dyDescent="0.2">
      <c r="A95" s="710"/>
      <c r="B95" s="14" t="s">
        <v>494</v>
      </c>
      <c r="C95" s="7" t="s">
        <v>86</v>
      </c>
      <c r="D95" s="277"/>
      <c r="E95" s="5">
        <v>12.5</v>
      </c>
      <c r="F95" s="3">
        <v>0</v>
      </c>
      <c r="G95" s="3">
        <v>12</v>
      </c>
      <c r="H95" s="13">
        <v>0</v>
      </c>
      <c r="I95" s="29">
        <f t="shared" si="30"/>
        <v>0</v>
      </c>
      <c r="J95" s="30">
        <f t="shared" si="31"/>
        <v>0</v>
      </c>
      <c r="K95" s="93">
        <f t="shared" si="20"/>
        <v>1650</v>
      </c>
      <c r="L95" s="93">
        <f t="shared" si="21"/>
        <v>1210</v>
      </c>
      <c r="M95" s="93">
        <f t="shared" si="22"/>
        <v>1155</v>
      </c>
      <c r="N95" s="64">
        <v>1100</v>
      </c>
      <c r="O95" s="69"/>
      <c r="P95" s="132">
        <f t="shared" si="23"/>
        <v>1100</v>
      </c>
      <c r="Q95" s="218">
        <f t="shared" si="24"/>
        <v>1815</v>
      </c>
      <c r="R95" s="218">
        <f t="shared" si="26"/>
        <v>1331</v>
      </c>
      <c r="S95" s="218">
        <f t="shared" si="27"/>
        <v>1270.5</v>
      </c>
      <c r="T95" s="111">
        <f>N95*1.1</f>
        <v>1210</v>
      </c>
      <c r="U95" s="108"/>
      <c r="V95" s="79"/>
      <c r="W95" s="86"/>
      <c r="X95" s="244">
        <f t="shared" si="25"/>
        <v>1210</v>
      </c>
      <c r="Y95" s="272"/>
      <c r="Z95" s="111">
        <f t="shared" si="29"/>
        <v>1025.4237288135594</v>
      </c>
    </row>
    <row r="96" spans="1:26" ht="24" customHeight="1" thickBot="1" x14ac:dyDescent="0.25">
      <c r="A96" s="718"/>
      <c r="B96" s="173" t="s">
        <v>495</v>
      </c>
      <c r="C96" s="174" t="s">
        <v>105</v>
      </c>
      <c r="D96" s="256" t="s">
        <v>291</v>
      </c>
      <c r="E96" s="136">
        <v>15.2</v>
      </c>
      <c r="F96" s="176">
        <v>0.17</v>
      </c>
      <c r="G96" s="176"/>
      <c r="H96" s="178">
        <v>0</v>
      </c>
      <c r="I96" s="179">
        <f t="shared" si="30"/>
        <v>0</v>
      </c>
      <c r="J96" s="180">
        <f t="shared" si="31"/>
        <v>0</v>
      </c>
      <c r="K96" s="139">
        <f t="shared" si="20"/>
        <v>3150</v>
      </c>
      <c r="L96" s="139">
        <f t="shared" si="21"/>
        <v>2310</v>
      </c>
      <c r="M96" s="139">
        <f t="shared" si="22"/>
        <v>2205</v>
      </c>
      <c r="N96" s="140">
        <v>2100</v>
      </c>
      <c r="O96" s="141">
        <v>993.7</v>
      </c>
      <c r="P96" s="142">
        <f t="shared" si="23"/>
        <v>1106.3</v>
      </c>
      <c r="Q96" s="219">
        <f t="shared" si="24"/>
        <v>3547.5</v>
      </c>
      <c r="R96" s="219">
        <f t="shared" si="26"/>
        <v>2601.5</v>
      </c>
      <c r="S96" s="219">
        <f t="shared" si="27"/>
        <v>2483.25</v>
      </c>
      <c r="T96" s="144">
        <v>2365</v>
      </c>
      <c r="U96" s="108">
        <f>O96*1.1</f>
        <v>1093.0700000000002</v>
      </c>
      <c r="V96" s="79">
        <f>T96-U96</f>
        <v>1271.9299999999998</v>
      </c>
      <c r="W96" s="86">
        <v>777.2</v>
      </c>
      <c r="X96" s="244">
        <f t="shared" si="25"/>
        <v>1164</v>
      </c>
      <c r="Y96" s="272">
        <v>1201</v>
      </c>
      <c r="Z96" s="111">
        <f t="shared" si="29"/>
        <v>2004.2372881355934</v>
      </c>
    </row>
    <row r="97" spans="1:26" ht="12.75" customHeight="1" thickTop="1" x14ac:dyDescent="0.2">
      <c r="A97" s="724" t="s">
        <v>460</v>
      </c>
      <c r="B97" s="160" t="s">
        <v>496</v>
      </c>
      <c r="C97" s="181" t="s">
        <v>66</v>
      </c>
      <c r="D97" s="278"/>
      <c r="E97" s="162">
        <v>13.5</v>
      </c>
      <c r="F97" s="163">
        <v>0.1</v>
      </c>
      <c r="G97" s="163">
        <v>10</v>
      </c>
      <c r="H97" s="164">
        <v>0</v>
      </c>
      <c r="I97" s="165">
        <f t="shared" si="30"/>
        <v>0</v>
      </c>
      <c r="J97" s="166">
        <f t="shared" si="31"/>
        <v>0</v>
      </c>
      <c r="K97" s="167">
        <f t="shared" si="20"/>
        <v>2625</v>
      </c>
      <c r="L97" s="167">
        <f t="shared" si="21"/>
        <v>1925.0000000000002</v>
      </c>
      <c r="M97" s="167">
        <f t="shared" si="22"/>
        <v>1837.5</v>
      </c>
      <c r="N97" s="168">
        <v>1750</v>
      </c>
      <c r="O97" s="169"/>
      <c r="P97" s="170">
        <f t="shared" si="23"/>
        <v>1750</v>
      </c>
      <c r="Q97" s="221">
        <f t="shared" si="24"/>
        <v>3015</v>
      </c>
      <c r="R97" s="221">
        <f t="shared" si="26"/>
        <v>2211</v>
      </c>
      <c r="S97" s="221">
        <f t="shared" si="27"/>
        <v>2110.5</v>
      </c>
      <c r="T97" s="172">
        <v>2010</v>
      </c>
      <c r="U97" s="108"/>
      <c r="V97" s="79"/>
      <c r="W97" s="86"/>
      <c r="X97" s="244">
        <f t="shared" si="25"/>
        <v>2010</v>
      </c>
      <c r="Y97" s="272"/>
      <c r="Z97" s="111">
        <f t="shared" si="29"/>
        <v>1703.3898305084747</v>
      </c>
    </row>
    <row r="98" spans="1:26" ht="18" customHeight="1" thickBot="1" x14ac:dyDescent="0.25">
      <c r="A98" s="725"/>
      <c r="B98" s="173" t="s">
        <v>497</v>
      </c>
      <c r="C98" s="174" t="s">
        <v>106</v>
      </c>
      <c r="D98" s="256" t="s">
        <v>292</v>
      </c>
      <c r="E98" s="136">
        <v>18</v>
      </c>
      <c r="F98" s="176">
        <v>0.17</v>
      </c>
      <c r="G98" s="176"/>
      <c r="H98" s="178">
        <v>0</v>
      </c>
      <c r="I98" s="179">
        <f t="shared" si="30"/>
        <v>0</v>
      </c>
      <c r="J98" s="180">
        <f t="shared" si="31"/>
        <v>0</v>
      </c>
      <c r="K98" s="139">
        <f t="shared" si="20"/>
        <v>6000</v>
      </c>
      <c r="L98" s="139">
        <f t="shared" si="21"/>
        <v>4400</v>
      </c>
      <c r="M98" s="139">
        <f t="shared" si="22"/>
        <v>4200</v>
      </c>
      <c r="N98" s="140">
        <v>4000</v>
      </c>
      <c r="O98" s="141">
        <v>2506</v>
      </c>
      <c r="P98" s="142">
        <f t="shared" si="23"/>
        <v>1494</v>
      </c>
      <c r="Q98" s="219">
        <f t="shared" si="24"/>
        <v>6706.5</v>
      </c>
      <c r="R98" s="219">
        <f t="shared" si="26"/>
        <v>4918.1000000000004</v>
      </c>
      <c r="S98" s="219">
        <f t="shared" si="27"/>
        <v>4694.55</v>
      </c>
      <c r="T98" s="144">
        <v>4471</v>
      </c>
      <c r="U98" s="108">
        <f>O98*1.1</f>
        <v>2756.6000000000004</v>
      </c>
      <c r="V98" s="79">
        <f>T98-U98</f>
        <v>1714.3999999999996</v>
      </c>
      <c r="W98" s="86">
        <v>1040</v>
      </c>
      <c r="X98" s="244">
        <f t="shared" si="25"/>
        <v>2913</v>
      </c>
      <c r="Y98" s="272">
        <v>1558</v>
      </c>
      <c r="Z98" s="111">
        <f t="shared" si="29"/>
        <v>3788.9830508474579</v>
      </c>
    </row>
    <row r="99" spans="1:26" ht="13.5" thickTop="1" x14ac:dyDescent="0.2">
      <c r="A99" s="717" t="s">
        <v>157</v>
      </c>
      <c r="B99" s="160" t="s">
        <v>411</v>
      </c>
      <c r="C99" s="181" t="s">
        <v>67</v>
      </c>
      <c r="D99" s="278"/>
      <c r="E99" s="162">
        <v>13.5</v>
      </c>
      <c r="F99" s="163">
        <v>7.0000000000000007E-2</v>
      </c>
      <c r="G99" s="163">
        <v>10</v>
      </c>
      <c r="H99" s="164">
        <v>0</v>
      </c>
      <c r="I99" s="165">
        <f t="shared" si="30"/>
        <v>0</v>
      </c>
      <c r="J99" s="166">
        <f t="shared" si="31"/>
        <v>0</v>
      </c>
      <c r="K99" s="167">
        <f t="shared" si="20"/>
        <v>2625</v>
      </c>
      <c r="L99" s="167">
        <f t="shared" si="21"/>
        <v>1925.0000000000002</v>
      </c>
      <c r="M99" s="167">
        <f t="shared" si="22"/>
        <v>1837.5</v>
      </c>
      <c r="N99" s="168">
        <v>1750</v>
      </c>
      <c r="O99" s="169"/>
      <c r="P99" s="170">
        <f t="shared" si="23"/>
        <v>1750</v>
      </c>
      <c r="Q99" s="221">
        <f t="shared" si="24"/>
        <v>3015</v>
      </c>
      <c r="R99" s="221">
        <f t="shared" si="26"/>
        <v>2211</v>
      </c>
      <c r="S99" s="221">
        <f t="shared" si="27"/>
        <v>2110.5</v>
      </c>
      <c r="T99" s="172">
        <v>2010</v>
      </c>
      <c r="U99" s="108"/>
      <c r="V99" s="79"/>
      <c r="W99" s="86"/>
      <c r="X99" s="244">
        <f t="shared" si="25"/>
        <v>2010</v>
      </c>
      <c r="Y99" s="272"/>
      <c r="Z99" s="111">
        <f t="shared" si="29"/>
        <v>1703.3898305084747</v>
      </c>
    </row>
    <row r="100" spans="1:26" ht="12.75" x14ac:dyDescent="0.2">
      <c r="A100" s="710"/>
      <c r="B100" s="14" t="s">
        <v>412</v>
      </c>
      <c r="C100" s="7" t="s">
        <v>68</v>
      </c>
      <c r="D100" s="277"/>
      <c r="E100" s="5">
        <v>14.2</v>
      </c>
      <c r="F100" s="3">
        <v>0.09</v>
      </c>
      <c r="G100" s="3">
        <v>10</v>
      </c>
      <c r="H100" s="13">
        <v>0</v>
      </c>
      <c r="I100" s="29">
        <f t="shared" si="30"/>
        <v>0</v>
      </c>
      <c r="J100" s="30">
        <f t="shared" si="31"/>
        <v>0</v>
      </c>
      <c r="K100" s="93">
        <f t="shared" si="20"/>
        <v>2812.5</v>
      </c>
      <c r="L100" s="93">
        <f t="shared" si="21"/>
        <v>2062.5</v>
      </c>
      <c r="M100" s="93">
        <f t="shared" si="22"/>
        <v>1968.75</v>
      </c>
      <c r="N100" s="64">
        <v>1875</v>
      </c>
      <c r="O100" s="69"/>
      <c r="P100" s="132">
        <f t="shared" si="23"/>
        <v>1875</v>
      </c>
      <c r="Q100" s="218">
        <f t="shared" si="24"/>
        <v>3247.5</v>
      </c>
      <c r="R100" s="218">
        <f t="shared" si="26"/>
        <v>2381.5</v>
      </c>
      <c r="S100" s="218">
        <f t="shared" si="27"/>
        <v>2273.25</v>
      </c>
      <c r="T100" s="111">
        <v>2165</v>
      </c>
      <c r="U100" s="108"/>
      <c r="V100" s="79"/>
      <c r="W100" s="86"/>
      <c r="X100" s="244">
        <f t="shared" si="25"/>
        <v>2165</v>
      </c>
      <c r="Y100" s="272"/>
      <c r="Z100" s="111">
        <f t="shared" si="29"/>
        <v>1834.7457627118645</v>
      </c>
    </row>
    <row r="101" spans="1:26" ht="12.75" x14ac:dyDescent="0.2">
      <c r="A101" s="710"/>
      <c r="B101" s="14" t="s">
        <v>413</v>
      </c>
      <c r="C101" s="7" t="s">
        <v>69</v>
      </c>
      <c r="D101" s="277"/>
      <c r="E101" s="5">
        <v>16.5</v>
      </c>
      <c r="F101" s="3">
        <v>0.09</v>
      </c>
      <c r="G101" s="3">
        <v>10</v>
      </c>
      <c r="H101" s="13">
        <v>0</v>
      </c>
      <c r="I101" s="29">
        <f t="shared" si="30"/>
        <v>0</v>
      </c>
      <c r="J101" s="30">
        <f t="shared" si="31"/>
        <v>0</v>
      </c>
      <c r="K101" s="93">
        <f t="shared" si="20"/>
        <v>3000</v>
      </c>
      <c r="L101" s="93">
        <f t="shared" si="21"/>
        <v>2200</v>
      </c>
      <c r="M101" s="93">
        <f t="shared" si="22"/>
        <v>2100</v>
      </c>
      <c r="N101" s="64">
        <v>2000</v>
      </c>
      <c r="O101" s="69"/>
      <c r="P101" s="132">
        <f t="shared" si="23"/>
        <v>2000</v>
      </c>
      <c r="Q101" s="218">
        <f t="shared" si="24"/>
        <v>3450</v>
      </c>
      <c r="R101" s="218">
        <f t="shared" si="26"/>
        <v>2530</v>
      </c>
      <c r="S101" s="218">
        <f t="shared" si="27"/>
        <v>2415</v>
      </c>
      <c r="T101" s="111">
        <v>2300</v>
      </c>
      <c r="U101" s="108"/>
      <c r="V101" s="79"/>
      <c r="W101" s="86"/>
      <c r="X101" s="244">
        <f t="shared" si="25"/>
        <v>2300</v>
      </c>
      <c r="Y101" s="272"/>
      <c r="Z101" s="111">
        <f t="shared" si="29"/>
        <v>1949.1525423728815</v>
      </c>
    </row>
    <row r="102" spans="1:26" ht="12.75" x14ac:dyDescent="0.2">
      <c r="A102" s="710"/>
      <c r="B102" s="14" t="s">
        <v>414</v>
      </c>
      <c r="C102" s="7" t="s">
        <v>84</v>
      </c>
      <c r="D102" s="277"/>
      <c r="E102" s="5">
        <v>34.5</v>
      </c>
      <c r="F102" s="3">
        <v>0.2</v>
      </c>
      <c r="G102" s="3">
        <v>6</v>
      </c>
      <c r="H102" s="13">
        <v>0</v>
      </c>
      <c r="I102" s="29">
        <f t="shared" si="30"/>
        <v>0</v>
      </c>
      <c r="J102" s="30">
        <f t="shared" si="31"/>
        <v>0</v>
      </c>
      <c r="K102" s="93">
        <f t="shared" si="20"/>
        <v>5550</v>
      </c>
      <c r="L102" s="93">
        <f t="shared" si="21"/>
        <v>4070.0000000000005</v>
      </c>
      <c r="M102" s="93">
        <f t="shared" si="22"/>
        <v>3885</v>
      </c>
      <c r="N102" s="64">
        <v>3700</v>
      </c>
      <c r="O102" s="69"/>
      <c r="P102" s="132">
        <f t="shared" si="23"/>
        <v>3700</v>
      </c>
      <c r="Q102" s="218">
        <f t="shared" si="24"/>
        <v>6105.0000000000009</v>
      </c>
      <c r="R102" s="218">
        <f t="shared" si="26"/>
        <v>4477.0000000000009</v>
      </c>
      <c r="S102" s="218">
        <f t="shared" si="27"/>
        <v>4273.5000000000009</v>
      </c>
      <c r="T102" s="111">
        <f t="shared" ref="T102:T112" si="32">N102*1.1</f>
        <v>4070.0000000000005</v>
      </c>
      <c r="U102" s="108"/>
      <c r="V102" s="79"/>
      <c r="W102" s="86"/>
      <c r="X102" s="244">
        <f t="shared" si="25"/>
        <v>4070.0000000000005</v>
      </c>
      <c r="Y102" s="272"/>
      <c r="Z102" s="111">
        <f t="shared" si="29"/>
        <v>3449.1525423728817</v>
      </c>
    </row>
    <row r="103" spans="1:26" s="26" customFormat="1" ht="12.75" x14ac:dyDescent="0.2">
      <c r="A103" s="710"/>
      <c r="B103" s="14" t="s">
        <v>36</v>
      </c>
      <c r="C103" s="7" t="s">
        <v>104</v>
      </c>
      <c r="D103" s="261" t="s">
        <v>293</v>
      </c>
      <c r="E103" s="5">
        <v>17</v>
      </c>
      <c r="F103" s="3">
        <v>0.15</v>
      </c>
      <c r="G103" s="3"/>
      <c r="H103" s="13">
        <v>0</v>
      </c>
      <c r="I103" s="29">
        <f t="shared" si="30"/>
        <v>0</v>
      </c>
      <c r="J103" s="30">
        <f t="shared" si="31"/>
        <v>0</v>
      </c>
      <c r="K103" s="93">
        <f t="shared" si="20"/>
        <v>4725</v>
      </c>
      <c r="L103" s="93">
        <f t="shared" si="21"/>
        <v>3465.0000000000005</v>
      </c>
      <c r="M103" s="93">
        <f t="shared" si="22"/>
        <v>3307.5</v>
      </c>
      <c r="N103" s="64">
        <v>3150</v>
      </c>
      <c r="O103" s="69">
        <v>2102.58</v>
      </c>
      <c r="P103" s="132">
        <f t="shared" si="23"/>
        <v>1047.42</v>
      </c>
      <c r="Q103" s="218">
        <f t="shared" si="24"/>
        <v>5197.5000000000009</v>
      </c>
      <c r="R103" s="218">
        <f t="shared" si="26"/>
        <v>3811.5000000000009</v>
      </c>
      <c r="S103" s="218">
        <f t="shared" si="27"/>
        <v>3638.2500000000005</v>
      </c>
      <c r="T103" s="111">
        <f t="shared" si="32"/>
        <v>3465.0000000000005</v>
      </c>
      <c r="U103" s="108">
        <f>O103*1.1</f>
        <v>2312.8380000000002</v>
      </c>
      <c r="V103" s="79">
        <f>T103-U103</f>
        <v>1152.1620000000003</v>
      </c>
      <c r="W103" s="86">
        <v>928.3</v>
      </c>
      <c r="X103" s="244">
        <f t="shared" si="25"/>
        <v>2298.0000000000005</v>
      </c>
      <c r="Y103" s="272">
        <v>1167</v>
      </c>
      <c r="Z103" s="111">
        <f t="shared" si="29"/>
        <v>2936.4406779661022</v>
      </c>
    </row>
    <row r="104" spans="1:26" ht="17.25" customHeight="1" x14ac:dyDescent="0.2">
      <c r="A104" s="710"/>
      <c r="B104" s="14" t="s">
        <v>37</v>
      </c>
      <c r="C104" s="7" t="s">
        <v>106</v>
      </c>
      <c r="D104" s="266" t="s">
        <v>292</v>
      </c>
      <c r="E104" s="5">
        <v>26</v>
      </c>
      <c r="F104" s="3">
        <v>0.17</v>
      </c>
      <c r="G104" s="3"/>
      <c r="H104" s="13">
        <v>0</v>
      </c>
      <c r="I104" s="29">
        <f t="shared" si="30"/>
        <v>0</v>
      </c>
      <c r="J104" s="30">
        <f t="shared" si="31"/>
        <v>0</v>
      </c>
      <c r="K104" s="93">
        <f t="shared" si="20"/>
        <v>6600</v>
      </c>
      <c r="L104" s="93">
        <f t="shared" si="21"/>
        <v>4840</v>
      </c>
      <c r="M104" s="93">
        <f t="shared" si="22"/>
        <v>4620</v>
      </c>
      <c r="N104" s="64">
        <v>4400</v>
      </c>
      <c r="O104" s="69">
        <v>2906.15</v>
      </c>
      <c r="P104" s="132">
        <f t="shared" si="23"/>
        <v>1493.85</v>
      </c>
      <c r="Q104" s="218">
        <f t="shared" si="24"/>
        <v>7366.5</v>
      </c>
      <c r="R104" s="218">
        <f t="shared" si="26"/>
        <v>5402.1</v>
      </c>
      <c r="S104" s="218">
        <f t="shared" si="27"/>
        <v>5156.55</v>
      </c>
      <c r="T104" s="111">
        <v>4911</v>
      </c>
      <c r="U104" s="108">
        <f>O104*1.1</f>
        <v>3196.7650000000003</v>
      </c>
      <c r="V104" s="79">
        <f>T104-U104</f>
        <v>1714.2349999999997</v>
      </c>
      <c r="W104" s="86">
        <v>1040</v>
      </c>
      <c r="X104" s="244">
        <f t="shared" si="25"/>
        <v>3353</v>
      </c>
      <c r="Y104" s="272">
        <v>1558</v>
      </c>
      <c r="Z104" s="111">
        <f t="shared" si="29"/>
        <v>4161.8644067796613</v>
      </c>
    </row>
    <row r="105" spans="1:26" ht="13.5" thickBot="1" x14ac:dyDescent="0.25">
      <c r="A105" s="718"/>
      <c r="B105" s="173" t="s">
        <v>38</v>
      </c>
      <c r="C105" s="174" t="s">
        <v>107</v>
      </c>
      <c r="D105" s="256" t="s">
        <v>294</v>
      </c>
      <c r="E105" s="136">
        <v>28.5</v>
      </c>
      <c r="F105" s="176">
        <v>0.2</v>
      </c>
      <c r="G105" s="176"/>
      <c r="H105" s="178">
        <v>0</v>
      </c>
      <c r="I105" s="179">
        <f t="shared" si="30"/>
        <v>0</v>
      </c>
      <c r="J105" s="180">
        <f t="shared" si="31"/>
        <v>0</v>
      </c>
      <c r="K105" s="139">
        <f t="shared" si="20"/>
        <v>8325</v>
      </c>
      <c r="L105" s="139">
        <f t="shared" si="21"/>
        <v>6105.0000000000009</v>
      </c>
      <c r="M105" s="139">
        <f t="shared" si="22"/>
        <v>5827.5</v>
      </c>
      <c r="N105" s="140">
        <v>5550</v>
      </c>
      <c r="O105" s="141">
        <v>3668</v>
      </c>
      <c r="P105" s="142">
        <f t="shared" si="23"/>
        <v>1882</v>
      </c>
      <c r="Q105" s="219">
        <f t="shared" si="24"/>
        <v>9157.5000000000018</v>
      </c>
      <c r="R105" s="219">
        <f t="shared" si="26"/>
        <v>6715.5000000000018</v>
      </c>
      <c r="S105" s="219">
        <f t="shared" si="27"/>
        <v>6410.2500000000009</v>
      </c>
      <c r="T105" s="144">
        <f t="shared" si="32"/>
        <v>6105.0000000000009</v>
      </c>
      <c r="U105" s="108">
        <f>O105*1.1</f>
        <v>4034.8</v>
      </c>
      <c r="V105" s="79">
        <f>T105-U105</f>
        <v>2070.2000000000007</v>
      </c>
      <c r="W105" s="86">
        <v>1676</v>
      </c>
      <c r="X105" s="244">
        <f t="shared" si="25"/>
        <v>3997.0000000000009</v>
      </c>
      <c r="Y105" s="272">
        <v>2108</v>
      </c>
      <c r="Z105" s="111">
        <f t="shared" si="29"/>
        <v>5173.7288135593235</v>
      </c>
    </row>
    <row r="106" spans="1:26" ht="13.5" thickTop="1" x14ac:dyDescent="0.2">
      <c r="A106" s="717" t="s">
        <v>158</v>
      </c>
      <c r="B106" s="160" t="s">
        <v>425</v>
      </c>
      <c r="C106" s="181" t="s">
        <v>10</v>
      </c>
      <c r="D106" s="278"/>
      <c r="E106" s="162">
        <v>15</v>
      </c>
      <c r="F106" s="163">
        <v>0.1</v>
      </c>
      <c r="G106" s="163">
        <v>10</v>
      </c>
      <c r="H106" s="164">
        <v>0</v>
      </c>
      <c r="I106" s="165">
        <f t="shared" si="30"/>
        <v>0</v>
      </c>
      <c r="J106" s="166">
        <f t="shared" si="31"/>
        <v>0</v>
      </c>
      <c r="K106" s="167">
        <f t="shared" si="20"/>
        <v>2775</v>
      </c>
      <c r="L106" s="167">
        <f t="shared" si="21"/>
        <v>2035.0000000000002</v>
      </c>
      <c r="M106" s="167">
        <f t="shared" si="22"/>
        <v>1942.5</v>
      </c>
      <c r="N106" s="168">
        <v>1850</v>
      </c>
      <c r="O106" s="169"/>
      <c r="P106" s="170">
        <f t="shared" si="23"/>
        <v>1850</v>
      </c>
      <c r="Q106" s="221">
        <f t="shared" si="24"/>
        <v>3052.5000000000005</v>
      </c>
      <c r="R106" s="221">
        <f t="shared" si="26"/>
        <v>2238.5000000000005</v>
      </c>
      <c r="S106" s="221">
        <f t="shared" si="27"/>
        <v>2136.7500000000005</v>
      </c>
      <c r="T106" s="172">
        <f t="shared" si="32"/>
        <v>2035.0000000000002</v>
      </c>
      <c r="U106" s="108"/>
      <c r="V106" s="79"/>
      <c r="W106" s="86"/>
      <c r="X106" s="244">
        <f t="shared" si="25"/>
        <v>2035.0000000000002</v>
      </c>
      <c r="Y106" s="272"/>
      <c r="Z106" s="111">
        <f t="shared" si="29"/>
        <v>1724.5762711864409</v>
      </c>
    </row>
    <row r="107" spans="1:26" ht="15" customHeight="1" thickBot="1" x14ac:dyDescent="0.25">
      <c r="A107" s="718"/>
      <c r="B107" s="173" t="s">
        <v>253</v>
      </c>
      <c r="C107" s="174" t="s">
        <v>105</v>
      </c>
      <c r="D107" s="256" t="s">
        <v>291</v>
      </c>
      <c r="E107" s="136">
        <v>16</v>
      </c>
      <c r="F107" s="176">
        <v>0.17</v>
      </c>
      <c r="G107" s="176"/>
      <c r="H107" s="178">
        <v>0</v>
      </c>
      <c r="I107" s="179">
        <f t="shared" si="30"/>
        <v>0</v>
      </c>
      <c r="J107" s="180">
        <f t="shared" si="31"/>
        <v>0</v>
      </c>
      <c r="K107" s="139">
        <f t="shared" si="20"/>
        <v>5850</v>
      </c>
      <c r="L107" s="139">
        <f t="shared" si="21"/>
        <v>4290</v>
      </c>
      <c r="M107" s="139">
        <f t="shared" si="22"/>
        <v>4095</v>
      </c>
      <c r="N107" s="140">
        <v>3900</v>
      </c>
      <c r="O107" s="141">
        <v>2793.7</v>
      </c>
      <c r="P107" s="142">
        <f t="shared" si="23"/>
        <v>1106.3000000000002</v>
      </c>
      <c r="Q107" s="219">
        <f t="shared" si="24"/>
        <v>6517.5</v>
      </c>
      <c r="R107" s="219">
        <f t="shared" si="26"/>
        <v>4779.5</v>
      </c>
      <c r="S107" s="219">
        <f t="shared" si="27"/>
        <v>4562.25</v>
      </c>
      <c r="T107" s="144">
        <v>4345</v>
      </c>
      <c r="U107" s="108">
        <f>O107*1.1</f>
        <v>3073.07</v>
      </c>
      <c r="V107" s="79">
        <f>T107-U107</f>
        <v>1271.9299999999998</v>
      </c>
      <c r="W107" s="86"/>
      <c r="X107" s="244">
        <f t="shared" si="25"/>
        <v>3144</v>
      </c>
      <c r="Y107" s="272">
        <v>1201</v>
      </c>
      <c r="Z107" s="111">
        <f t="shared" si="29"/>
        <v>3682.2033898305085</v>
      </c>
    </row>
    <row r="108" spans="1:26" ht="13.5" thickTop="1" x14ac:dyDescent="0.2">
      <c r="A108" s="717" t="s">
        <v>162</v>
      </c>
      <c r="B108" s="160" t="s">
        <v>39</v>
      </c>
      <c r="C108" s="181" t="s">
        <v>92</v>
      </c>
      <c r="D108" s="267" t="s">
        <v>281</v>
      </c>
      <c r="E108" s="162">
        <v>28</v>
      </c>
      <c r="F108" s="163">
        <v>0.16</v>
      </c>
      <c r="G108" s="163"/>
      <c r="H108" s="164">
        <v>0</v>
      </c>
      <c r="I108" s="165">
        <f t="shared" si="30"/>
        <v>0</v>
      </c>
      <c r="J108" s="166">
        <f t="shared" si="31"/>
        <v>0</v>
      </c>
      <c r="K108" s="167">
        <f t="shared" si="20"/>
        <v>8775</v>
      </c>
      <c r="L108" s="167">
        <f t="shared" si="21"/>
        <v>6435.0000000000009</v>
      </c>
      <c r="M108" s="167">
        <f t="shared" si="22"/>
        <v>6142.5</v>
      </c>
      <c r="N108" s="168">
        <v>5850</v>
      </c>
      <c r="O108" s="169">
        <v>3289.9</v>
      </c>
      <c r="P108" s="170">
        <f t="shared" si="23"/>
        <v>2560.1</v>
      </c>
      <c r="Q108" s="221">
        <f t="shared" si="24"/>
        <v>9652.5000000000018</v>
      </c>
      <c r="R108" s="221">
        <f t="shared" si="26"/>
        <v>7078.5000000000018</v>
      </c>
      <c r="S108" s="221">
        <f t="shared" si="27"/>
        <v>6756.7500000000009</v>
      </c>
      <c r="T108" s="172">
        <f t="shared" si="32"/>
        <v>6435.0000000000009</v>
      </c>
      <c r="U108" s="108">
        <f>O108*1.1</f>
        <v>3618.8900000000003</v>
      </c>
      <c r="V108" s="79">
        <f>T108-U108</f>
        <v>2816.1100000000006</v>
      </c>
      <c r="W108" s="86">
        <v>2293</v>
      </c>
      <c r="X108" s="244">
        <f t="shared" si="25"/>
        <v>3552.0000000000009</v>
      </c>
      <c r="Y108" s="272">
        <v>2883</v>
      </c>
      <c r="Z108" s="111">
        <f t="shared" si="29"/>
        <v>5453.3898305084758</v>
      </c>
    </row>
    <row r="109" spans="1:26" ht="12.75" x14ac:dyDescent="0.2">
      <c r="A109" s="710"/>
      <c r="B109" s="14" t="s">
        <v>40</v>
      </c>
      <c r="C109" s="16" t="s">
        <v>108</v>
      </c>
      <c r="D109" s="266" t="s">
        <v>281</v>
      </c>
      <c r="E109" s="3">
        <v>20.5</v>
      </c>
      <c r="F109" s="3">
        <v>0.22</v>
      </c>
      <c r="G109" s="34"/>
      <c r="H109" s="13">
        <v>0</v>
      </c>
      <c r="I109" s="29">
        <f t="shared" si="30"/>
        <v>0</v>
      </c>
      <c r="J109" s="30">
        <f t="shared" si="31"/>
        <v>0</v>
      </c>
      <c r="K109" s="93">
        <f t="shared" si="20"/>
        <v>10200</v>
      </c>
      <c r="L109" s="93">
        <f t="shared" si="21"/>
        <v>7480.0000000000009</v>
      </c>
      <c r="M109" s="93">
        <f t="shared" si="22"/>
        <v>7140</v>
      </c>
      <c r="N109" s="64">
        <v>6800</v>
      </c>
      <c r="O109" s="69">
        <v>4239.8999999999996</v>
      </c>
      <c r="P109" s="132">
        <f t="shared" si="23"/>
        <v>2560.1000000000004</v>
      </c>
      <c r="Q109" s="218">
        <f t="shared" si="24"/>
        <v>11220.000000000002</v>
      </c>
      <c r="R109" s="218">
        <f t="shared" si="26"/>
        <v>8228.0000000000018</v>
      </c>
      <c r="S109" s="218">
        <f t="shared" si="27"/>
        <v>7854.0000000000009</v>
      </c>
      <c r="T109" s="111">
        <f t="shared" si="32"/>
        <v>7480.0000000000009</v>
      </c>
      <c r="U109" s="108">
        <f>O109*1.1</f>
        <v>4663.8900000000003</v>
      </c>
      <c r="V109" s="79">
        <f>T109-U109</f>
        <v>2816.1100000000006</v>
      </c>
      <c r="W109" s="86">
        <v>2293</v>
      </c>
      <c r="X109" s="244">
        <f t="shared" si="25"/>
        <v>4597.0000000000009</v>
      </c>
      <c r="Y109" s="272">
        <v>2883</v>
      </c>
      <c r="Z109" s="111">
        <f t="shared" si="29"/>
        <v>6338.9830508474588</v>
      </c>
    </row>
    <row r="110" spans="1:26" ht="12.75" x14ac:dyDescent="0.2">
      <c r="A110" s="710"/>
      <c r="B110" s="14" t="s">
        <v>41</v>
      </c>
      <c r="C110" s="7" t="s">
        <v>255</v>
      </c>
      <c r="D110" s="266" t="s">
        <v>282</v>
      </c>
      <c r="E110" s="3">
        <v>22.5</v>
      </c>
      <c r="F110" s="3">
        <v>0.24</v>
      </c>
      <c r="G110" s="34"/>
      <c r="H110" s="13">
        <v>0</v>
      </c>
      <c r="I110" s="29">
        <f t="shared" si="30"/>
        <v>0</v>
      </c>
      <c r="J110" s="30">
        <f t="shared" si="31"/>
        <v>0</v>
      </c>
      <c r="K110" s="93">
        <f t="shared" si="20"/>
        <v>9825</v>
      </c>
      <c r="L110" s="93">
        <f t="shared" si="21"/>
        <v>7205.0000000000009</v>
      </c>
      <c r="M110" s="93">
        <f t="shared" si="22"/>
        <v>6877.5</v>
      </c>
      <c r="N110" s="64">
        <v>6550</v>
      </c>
      <c r="O110" s="69">
        <v>3480</v>
      </c>
      <c r="P110" s="132">
        <f t="shared" si="23"/>
        <v>3070</v>
      </c>
      <c r="Q110" s="218">
        <f t="shared" si="24"/>
        <v>10807.500000000002</v>
      </c>
      <c r="R110" s="218">
        <f t="shared" si="26"/>
        <v>7925.5000000000018</v>
      </c>
      <c r="S110" s="218">
        <f t="shared" si="27"/>
        <v>7565.2500000000009</v>
      </c>
      <c r="T110" s="111">
        <f t="shared" si="32"/>
        <v>7205.0000000000009</v>
      </c>
      <c r="U110" s="108">
        <f>O110*1.1</f>
        <v>3828.0000000000005</v>
      </c>
      <c r="V110" s="79">
        <f>T110-U110</f>
        <v>3377.0000000000005</v>
      </c>
      <c r="W110" s="86"/>
      <c r="X110" s="244">
        <f t="shared" si="25"/>
        <v>3765.0000000000009</v>
      </c>
      <c r="Y110" s="272">
        <v>3440</v>
      </c>
      <c r="Z110" s="111">
        <f t="shared" si="29"/>
        <v>6105.9322033898316</v>
      </c>
    </row>
    <row r="111" spans="1:26" ht="12.75" x14ac:dyDescent="0.2">
      <c r="A111" s="710"/>
      <c r="B111" s="14" t="s">
        <v>254</v>
      </c>
      <c r="C111" s="7" t="s">
        <v>109</v>
      </c>
      <c r="D111" s="266" t="s">
        <v>282</v>
      </c>
      <c r="E111" s="3">
        <v>30.5</v>
      </c>
      <c r="F111" s="3">
        <v>0.24</v>
      </c>
      <c r="G111" s="34"/>
      <c r="H111" s="13">
        <v>0</v>
      </c>
      <c r="I111" s="29">
        <f t="shared" si="30"/>
        <v>0</v>
      </c>
      <c r="J111" s="30">
        <f t="shared" si="31"/>
        <v>0</v>
      </c>
      <c r="K111" s="93">
        <f t="shared" si="20"/>
        <v>13125</v>
      </c>
      <c r="L111" s="93">
        <f t="shared" si="21"/>
        <v>9625</v>
      </c>
      <c r="M111" s="93">
        <f t="shared" si="22"/>
        <v>9187.5</v>
      </c>
      <c r="N111" s="64">
        <v>8750</v>
      </c>
      <c r="O111" s="69">
        <v>5681</v>
      </c>
      <c r="P111" s="132">
        <f t="shared" si="23"/>
        <v>3069</v>
      </c>
      <c r="Q111" s="218">
        <f t="shared" si="24"/>
        <v>14437.5</v>
      </c>
      <c r="R111" s="218">
        <f t="shared" si="26"/>
        <v>10587.5</v>
      </c>
      <c r="S111" s="218">
        <f t="shared" si="27"/>
        <v>10106.25</v>
      </c>
      <c r="T111" s="111">
        <f t="shared" si="32"/>
        <v>9625</v>
      </c>
      <c r="U111" s="108">
        <f>O111*1.1</f>
        <v>6249.1</v>
      </c>
      <c r="V111" s="79">
        <f>T111-U111</f>
        <v>3375.8999999999996</v>
      </c>
      <c r="W111" s="86"/>
      <c r="X111" s="244">
        <f t="shared" si="25"/>
        <v>6185</v>
      </c>
      <c r="Y111" s="272">
        <v>3440</v>
      </c>
      <c r="Z111" s="111">
        <f t="shared" si="29"/>
        <v>8156.7796610169498</v>
      </c>
    </row>
    <row r="112" spans="1:26" ht="13.5" thickBot="1" x14ac:dyDescent="0.25">
      <c r="A112" s="718"/>
      <c r="B112" s="173" t="s">
        <v>401</v>
      </c>
      <c r="C112" s="174" t="s">
        <v>82</v>
      </c>
      <c r="D112" s="282"/>
      <c r="E112" s="136">
        <v>27.5</v>
      </c>
      <c r="F112" s="176">
        <v>0.2</v>
      </c>
      <c r="G112" s="176">
        <v>6</v>
      </c>
      <c r="H112" s="178">
        <v>0</v>
      </c>
      <c r="I112" s="179">
        <f t="shared" si="30"/>
        <v>0</v>
      </c>
      <c r="J112" s="180">
        <f t="shared" si="31"/>
        <v>0</v>
      </c>
      <c r="K112" s="139">
        <f t="shared" si="20"/>
        <v>7650</v>
      </c>
      <c r="L112" s="139">
        <f t="shared" si="21"/>
        <v>5610</v>
      </c>
      <c r="M112" s="139">
        <f t="shared" si="22"/>
        <v>5355</v>
      </c>
      <c r="N112" s="140">
        <v>5100</v>
      </c>
      <c r="O112" s="141"/>
      <c r="P112" s="142">
        <f t="shared" si="23"/>
        <v>5100</v>
      </c>
      <c r="Q112" s="219">
        <f t="shared" si="24"/>
        <v>8415</v>
      </c>
      <c r="R112" s="219">
        <f t="shared" si="26"/>
        <v>6171.0000000000009</v>
      </c>
      <c r="S112" s="219">
        <f t="shared" si="27"/>
        <v>5890.5</v>
      </c>
      <c r="T112" s="144">
        <f t="shared" si="32"/>
        <v>5610</v>
      </c>
      <c r="U112" s="108"/>
      <c r="V112" s="79"/>
      <c r="W112" s="86"/>
      <c r="X112" s="244">
        <f t="shared" si="25"/>
        <v>5610</v>
      </c>
      <c r="Y112" s="272"/>
      <c r="Z112" s="111">
        <f t="shared" si="29"/>
        <v>4754.2372881355932</v>
      </c>
    </row>
    <row r="113" spans="1:26" ht="13.5" thickTop="1" x14ac:dyDescent="0.2">
      <c r="A113" s="717" t="s">
        <v>140</v>
      </c>
      <c r="B113" s="160" t="s">
        <v>184</v>
      </c>
      <c r="C113" s="181" t="s">
        <v>70</v>
      </c>
      <c r="D113" s="283"/>
      <c r="E113" s="162">
        <v>23.5</v>
      </c>
      <c r="F113" s="163">
        <v>0.16</v>
      </c>
      <c r="G113" s="163">
        <v>10</v>
      </c>
      <c r="H113" s="164">
        <v>0</v>
      </c>
      <c r="I113" s="165">
        <f t="shared" si="30"/>
        <v>0</v>
      </c>
      <c r="J113" s="166">
        <f t="shared" si="31"/>
        <v>0</v>
      </c>
      <c r="K113" s="167">
        <f t="shared" si="20"/>
        <v>6225</v>
      </c>
      <c r="L113" s="167">
        <f t="shared" si="21"/>
        <v>4565</v>
      </c>
      <c r="M113" s="167">
        <f t="shared" si="22"/>
        <v>4357.5</v>
      </c>
      <c r="N113" s="168">
        <v>4150</v>
      </c>
      <c r="O113" s="169"/>
      <c r="P113" s="170">
        <f t="shared" si="23"/>
        <v>4150</v>
      </c>
      <c r="Q113" s="221">
        <f t="shared" si="24"/>
        <v>6855</v>
      </c>
      <c r="R113" s="221">
        <f t="shared" si="26"/>
        <v>5027</v>
      </c>
      <c r="S113" s="221">
        <f t="shared" si="27"/>
        <v>4798.5</v>
      </c>
      <c r="T113" s="172">
        <v>4570</v>
      </c>
      <c r="U113" s="108"/>
      <c r="V113" s="79"/>
      <c r="W113" s="86"/>
      <c r="X113" s="244">
        <f t="shared" si="25"/>
        <v>4570</v>
      </c>
      <c r="Y113" s="272"/>
      <c r="Z113" s="111">
        <f t="shared" si="29"/>
        <v>3872.8813559322034</v>
      </c>
    </row>
    <row r="114" spans="1:26" ht="12.75" x14ac:dyDescent="0.2">
      <c r="A114" s="710"/>
      <c r="B114" s="14" t="s">
        <v>401</v>
      </c>
      <c r="C114" s="7" t="s">
        <v>82</v>
      </c>
      <c r="D114" s="284"/>
      <c r="E114" s="5">
        <v>27.5</v>
      </c>
      <c r="F114" s="3">
        <v>0.2</v>
      </c>
      <c r="G114" s="3">
        <v>6</v>
      </c>
      <c r="H114" s="13">
        <v>0</v>
      </c>
      <c r="I114" s="29">
        <f t="shared" si="30"/>
        <v>0</v>
      </c>
      <c r="J114" s="30">
        <f t="shared" si="31"/>
        <v>0</v>
      </c>
      <c r="K114" s="93">
        <f t="shared" si="20"/>
        <v>7650</v>
      </c>
      <c r="L114" s="93">
        <f t="shared" si="21"/>
        <v>5610</v>
      </c>
      <c r="M114" s="93">
        <f t="shared" si="22"/>
        <v>5355</v>
      </c>
      <c r="N114" s="64">
        <v>5100</v>
      </c>
      <c r="O114" s="69"/>
      <c r="P114" s="132">
        <f>N114-O114</f>
        <v>5100</v>
      </c>
      <c r="Q114" s="218">
        <f t="shared" si="24"/>
        <v>8415</v>
      </c>
      <c r="R114" s="218">
        <f t="shared" si="26"/>
        <v>6171.0000000000009</v>
      </c>
      <c r="S114" s="218">
        <f t="shared" si="27"/>
        <v>5890.5</v>
      </c>
      <c r="T114" s="111">
        <f>N114*1.1</f>
        <v>5610</v>
      </c>
      <c r="U114" s="108"/>
      <c r="V114" s="79"/>
      <c r="W114" s="86"/>
      <c r="X114" s="244">
        <f t="shared" si="25"/>
        <v>5610</v>
      </c>
      <c r="Y114" s="272"/>
      <c r="Z114" s="111">
        <f t="shared" si="29"/>
        <v>4754.2372881355932</v>
      </c>
    </row>
    <row r="115" spans="1:26" ht="14.25" customHeight="1" x14ac:dyDescent="0.2">
      <c r="A115" s="710"/>
      <c r="B115" s="14" t="s">
        <v>256</v>
      </c>
      <c r="C115" s="7" t="s">
        <v>110</v>
      </c>
      <c r="D115" s="266" t="s">
        <v>295</v>
      </c>
      <c r="E115" s="5">
        <v>28</v>
      </c>
      <c r="F115" s="3">
        <v>0.25</v>
      </c>
      <c r="G115" s="3"/>
      <c r="H115" s="13">
        <v>0</v>
      </c>
      <c r="I115" s="29">
        <f t="shared" si="30"/>
        <v>0</v>
      </c>
      <c r="J115" s="30">
        <f t="shared" si="31"/>
        <v>0</v>
      </c>
      <c r="K115" s="93">
        <f t="shared" si="20"/>
        <v>17775</v>
      </c>
      <c r="L115" s="93">
        <f t="shared" si="21"/>
        <v>13035.000000000002</v>
      </c>
      <c r="M115" s="93">
        <f t="shared" si="22"/>
        <v>12442.5</v>
      </c>
      <c r="N115" s="64">
        <v>11850</v>
      </c>
      <c r="O115" s="69">
        <v>6162</v>
      </c>
      <c r="P115" s="132">
        <f t="shared" si="23"/>
        <v>5688</v>
      </c>
      <c r="Q115" s="218">
        <f t="shared" si="24"/>
        <v>28434</v>
      </c>
      <c r="R115" s="218">
        <f t="shared" si="26"/>
        <v>20851.600000000002</v>
      </c>
      <c r="S115" s="218">
        <f t="shared" si="27"/>
        <v>19903.8</v>
      </c>
      <c r="T115" s="111">
        <v>18956</v>
      </c>
      <c r="U115" s="108">
        <f>O115*1.1</f>
        <v>6778.2000000000007</v>
      </c>
      <c r="V115" s="79">
        <f>T115-U115</f>
        <v>12177.8</v>
      </c>
      <c r="W115" s="86">
        <v>5608</v>
      </c>
      <c r="X115" s="244">
        <f>T115-Y115</f>
        <v>6778</v>
      </c>
      <c r="Y115" s="272">
        <v>12178</v>
      </c>
      <c r="Z115" s="111">
        <f t="shared" si="29"/>
        <v>16064.406779661018</v>
      </c>
    </row>
    <row r="116" spans="1:26" ht="16.5" customHeight="1" thickBot="1" x14ac:dyDescent="0.25">
      <c r="A116" s="718"/>
      <c r="B116" s="173" t="s">
        <v>257</v>
      </c>
      <c r="C116" s="174" t="s">
        <v>111</v>
      </c>
      <c r="D116" s="268" t="s">
        <v>295</v>
      </c>
      <c r="E116" s="176">
        <v>30.5</v>
      </c>
      <c r="F116" s="176">
        <v>0.42</v>
      </c>
      <c r="G116" s="177"/>
      <c r="H116" s="178">
        <v>0</v>
      </c>
      <c r="I116" s="179">
        <f t="shared" si="30"/>
        <v>0</v>
      </c>
      <c r="J116" s="180">
        <f t="shared" si="31"/>
        <v>0</v>
      </c>
      <c r="K116" s="139">
        <f t="shared" si="20"/>
        <v>22500</v>
      </c>
      <c r="L116" s="139">
        <f t="shared" si="21"/>
        <v>16500</v>
      </c>
      <c r="M116" s="139">
        <f t="shared" si="22"/>
        <v>15750</v>
      </c>
      <c r="N116" s="140">
        <v>15000</v>
      </c>
      <c r="O116" s="141">
        <v>9312</v>
      </c>
      <c r="P116" s="142">
        <f t="shared" si="23"/>
        <v>5688</v>
      </c>
      <c r="Q116" s="219">
        <f t="shared" si="24"/>
        <v>33631.5</v>
      </c>
      <c r="R116" s="219">
        <f t="shared" si="26"/>
        <v>24663.100000000002</v>
      </c>
      <c r="S116" s="219">
        <f t="shared" si="27"/>
        <v>23542.05</v>
      </c>
      <c r="T116" s="144">
        <v>22421</v>
      </c>
      <c r="U116" s="108">
        <f>O116*1.1</f>
        <v>10243.200000000001</v>
      </c>
      <c r="V116" s="79">
        <f>T116-U116</f>
        <v>12177.8</v>
      </c>
      <c r="W116" s="86">
        <v>5608</v>
      </c>
      <c r="X116" s="244">
        <f t="shared" si="25"/>
        <v>10243</v>
      </c>
      <c r="Y116" s="272">
        <v>12178</v>
      </c>
      <c r="Z116" s="111">
        <f t="shared" si="29"/>
        <v>19000.847457627118</v>
      </c>
    </row>
    <row r="117" spans="1:26" ht="13.5" thickTop="1" x14ac:dyDescent="0.2">
      <c r="A117" s="717" t="s">
        <v>141</v>
      </c>
      <c r="B117" s="160" t="s">
        <v>498</v>
      </c>
      <c r="C117" s="181" t="s">
        <v>354</v>
      </c>
      <c r="D117" s="283"/>
      <c r="E117" s="162">
        <v>10.5</v>
      </c>
      <c r="F117" s="163">
        <v>0.02</v>
      </c>
      <c r="G117" s="163">
        <v>10</v>
      </c>
      <c r="H117" s="164">
        <v>0</v>
      </c>
      <c r="I117" s="165">
        <f t="shared" si="30"/>
        <v>0</v>
      </c>
      <c r="J117" s="166">
        <f t="shared" si="31"/>
        <v>0</v>
      </c>
      <c r="K117" s="167">
        <f t="shared" si="20"/>
        <v>6525</v>
      </c>
      <c r="L117" s="167">
        <f t="shared" si="21"/>
        <v>4785</v>
      </c>
      <c r="M117" s="167">
        <f t="shared" si="22"/>
        <v>4567.5</v>
      </c>
      <c r="N117" s="168">
        <v>4350</v>
      </c>
      <c r="O117" s="169"/>
      <c r="P117" s="170">
        <f t="shared" si="23"/>
        <v>4350</v>
      </c>
      <c r="Q117" s="221">
        <f t="shared" si="24"/>
        <v>12375</v>
      </c>
      <c r="R117" s="221">
        <f t="shared" si="26"/>
        <v>9075</v>
      </c>
      <c r="S117" s="221">
        <f t="shared" si="27"/>
        <v>8662.5</v>
      </c>
      <c r="T117" s="172">
        <v>8250</v>
      </c>
      <c r="U117" s="108"/>
      <c r="V117" s="79"/>
      <c r="W117" s="86"/>
      <c r="X117" s="244">
        <f t="shared" si="25"/>
        <v>8250</v>
      </c>
      <c r="Y117" s="272"/>
      <c r="Z117" s="111">
        <f t="shared" si="29"/>
        <v>6991.5254237288136</v>
      </c>
    </row>
    <row r="118" spans="1:26" ht="12.75" x14ac:dyDescent="0.2">
      <c r="A118" s="710"/>
      <c r="B118" s="14" t="s">
        <v>499</v>
      </c>
      <c r="C118" s="7" t="s">
        <v>85</v>
      </c>
      <c r="D118" s="284"/>
      <c r="E118" s="5">
        <v>34.799999999999997</v>
      </c>
      <c r="F118" s="3">
        <v>0.25</v>
      </c>
      <c r="G118" s="3">
        <v>6</v>
      </c>
      <c r="H118" s="13">
        <v>0</v>
      </c>
      <c r="I118" s="29">
        <f t="shared" si="30"/>
        <v>0</v>
      </c>
      <c r="J118" s="30">
        <f t="shared" si="31"/>
        <v>0</v>
      </c>
      <c r="K118" s="93">
        <f t="shared" si="20"/>
        <v>11700</v>
      </c>
      <c r="L118" s="93">
        <f t="shared" si="21"/>
        <v>8580</v>
      </c>
      <c r="M118" s="93">
        <f t="shared" si="22"/>
        <v>8190</v>
      </c>
      <c r="N118" s="64">
        <v>7800</v>
      </c>
      <c r="O118" s="69"/>
      <c r="P118" s="132">
        <f t="shared" si="23"/>
        <v>7800</v>
      </c>
      <c r="Q118" s="218">
        <f t="shared" si="24"/>
        <v>12870</v>
      </c>
      <c r="R118" s="218">
        <f t="shared" si="26"/>
        <v>9438</v>
      </c>
      <c r="S118" s="218">
        <f t="shared" si="27"/>
        <v>9009</v>
      </c>
      <c r="T118" s="111">
        <f>N118*1.1</f>
        <v>8580</v>
      </c>
      <c r="U118" s="108"/>
      <c r="V118" s="79"/>
      <c r="W118" s="86"/>
      <c r="X118" s="244">
        <f t="shared" si="25"/>
        <v>8580</v>
      </c>
      <c r="Y118" s="272"/>
      <c r="Z118" s="111">
        <f t="shared" si="29"/>
        <v>7271.1864406779669</v>
      </c>
    </row>
    <row r="119" spans="1:26" ht="12.75" x14ac:dyDescent="0.2">
      <c r="A119" s="710"/>
      <c r="B119" s="14" t="s">
        <v>500</v>
      </c>
      <c r="C119" s="7" t="s">
        <v>92</v>
      </c>
      <c r="D119" s="266" t="s">
        <v>281</v>
      </c>
      <c r="E119" s="5">
        <v>18.399999999999999</v>
      </c>
      <c r="F119" s="3">
        <v>0.16</v>
      </c>
      <c r="G119" s="3"/>
      <c r="H119" s="13">
        <v>0</v>
      </c>
      <c r="I119" s="29">
        <f t="shared" si="30"/>
        <v>0</v>
      </c>
      <c r="J119" s="30">
        <f t="shared" si="31"/>
        <v>0</v>
      </c>
      <c r="K119" s="93">
        <f t="shared" si="20"/>
        <v>10500</v>
      </c>
      <c r="L119" s="93">
        <f t="shared" si="21"/>
        <v>7700.0000000000009</v>
      </c>
      <c r="M119" s="93">
        <f t="shared" si="22"/>
        <v>7350</v>
      </c>
      <c r="N119" s="64">
        <v>7000</v>
      </c>
      <c r="O119" s="69">
        <v>4440</v>
      </c>
      <c r="P119" s="132">
        <f t="shared" si="23"/>
        <v>2560</v>
      </c>
      <c r="Q119" s="218">
        <f t="shared" si="24"/>
        <v>11550.000000000002</v>
      </c>
      <c r="R119" s="218">
        <f t="shared" si="26"/>
        <v>8470.0000000000018</v>
      </c>
      <c r="S119" s="218">
        <f t="shared" si="27"/>
        <v>8085.0000000000009</v>
      </c>
      <c r="T119" s="111">
        <f>N119*1.1</f>
        <v>7700.0000000000009</v>
      </c>
      <c r="U119" s="108">
        <f>O119*1.1</f>
        <v>4884</v>
      </c>
      <c r="V119" s="79">
        <f>T119-U119</f>
        <v>2816.0000000000009</v>
      </c>
      <c r="W119" s="86">
        <v>2293</v>
      </c>
      <c r="X119" s="244">
        <f t="shared" si="25"/>
        <v>4817.0000000000009</v>
      </c>
      <c r="Y119" s="272">
        <v>2883</v>
      </c>
      <c r="Z119" s="111">
        <f t="shared" si="29"/>
        <v>6525.42372881356</v>
      </c>
    </row>
    <row r="120" spans="1:26" ht="13.5" thickBot="1" x14ac:dyDescent="0.25">
      <c r="A120" s="718"/>
      <c r="B120" s="173" t="s">
        <v>501</v>
      </c>
      <c r="C120" s="174" t="s">
        <v>92</v>
      </c>
      <c r="D120" s="268" t="s">
        <v>281</v>
      </c>
      <c r="E120" s="136">
        <v>19</v>
      </c>
      <c r="F120" s="176">
        <v>0.16</v>
      </c>
      <c r="G120" s="176"/>
      <c r="H120" s="178">
        <v>0</v>
      </c>
      <c r="I120" s="179">
        <f t="shared" si="30"/>
        <v>0</v>
      </c>
      <c r="J120" s="180">
        <f t="shared" si="31"/>
        <v>0</v>
      </c>
      <c r="K120" s="139">
        <f t="shared" si="20"/>
        <v>14775</v>
      </c>
      <c r="L120" s="139">
        <f t="shared" si="21"/>
        <v>10835</v>
      </c>
      <c r="M120" s="139">
        <f t="shared" si="22"/>
        <v>10342.5</v>
      </c>
      <c r="N120" s="140">
        <v>9850</v>
      </c>
      <c r="O120" s="141">
        <v>7240</v>
      </c>
      <c r="P120" s="142">
        <f t="shared" si="23"/>
        <v>2610</v>
      </c>
      <c r="Q120" s="219">
        <f t="shared" si="24"/>
        <v>16252.5</v>
      </c>
      <c r="R120" s="219">
        <f t="shared" si="26"/>
        <v>11918.500000000002</v>
      </c>
      <c r="S120" s="219">
        <f t="shared" si="27"/>
        <v>11376.75</v>
      </c>
      <c r="T120" s="144">
        <f>N120*1.1</f>
        <v>10835</v>
      </c>
      <c r="U120" s="108">
        <f>O120*1.1</f>
        <v>7964.0000000000009</v>
      </c>
      <c r="V120" s="79">
        <f>T120-U120</f>
        <v>2870.9999999999991</v>
      </c>
      <c r="W120" s="86">
        <v>2293</v>
      </c>
      <c r="X120" s="244">
        <f t="shared" si="25"/>
        <v>7952</v>
      </c>
      <c r="Y120" s="272">
        <v>2883</v>
      </c>
      <c r="Z120" s="111">
        <f t="shared" si="29"/>
        <v>9182.203389830509</v>
      </c>
    </row>
    <row r="121" spans="1:26" ht="13.5" thickTop="1" x14ac:dyDescent="0.2">
      <c r="A121" s="717" t="s">
        <v>142</v>
      </c>
      <c r="B121" s="160" t="s">
        <v>502</v>
      </c>
      <c r="C121" s="181" t="s">
        <v>73</v>
      </c>
      <c r="D121" s="283"/>
      <c r="E121" s="162">
        <v>13.3</v>
      </c>
      <c r="F121" s="163">
        <v>0.09</v>
      </c>
      <c r="G121" s="163">
        <v>10</v>
      </c>
      <c r="H121" s="164">
        <v>0</v>
      </c>
      <c r="I121" s="165">
        <f t="shared" si="30"/>
        <v>0</v>
      </c>
      <c r="J121" s="166">
        <f t="shared" si="31"/>
        <v>0</v>
      </c>
      <c r="K121" s="167">
        <f t="shared" si="20"/>
        <v>3525</v>
      </c>
      <c r="L121" s="167">
        <f t="shared" si="21"/>
        <v>2585</v>
      </c>
      <c r="M121" s="167">
        <f t="shared" si="22"/>
        <v>2467.5</v>
      </c>
      <c r="N121" s="168">
        <v>2350</v>
      </c>
      <c r="O121" s="169"/>
      <c r="P121" s="170">
        <f t="shared" si="23"/>
        <v>2350</v>
      </c>
      <c r="Q121" s="221">
        <f t="shared" si="24"/>
        <v>4050</v>
      </c>
      <c r="R121" s="221">
        <f t="shared" si="26"/>
        <v>2970.0000000000005</v>
      </c>
      <c r="S121" s="221">
        <f t="shared" si="27"/>
        <v>2835</v>
      </c>
      <c r="T121" s="172">
        <v>2700</v>
      </c>
      <c r="U121" s="108"/>
      <c r="V121" s="79"/>
      <c r="W121" s="86"/>
      <c r="X121" s="244">
        <f t="shared" si="25"/>
        <v>2700</v>
      </c>
      <c r="Y121" s="272"/>
      <c r="Z121" s="111">
        <f t="shared" si="29"/>
        <v>2288.1355932203392</v>
      </c>
    </row>
    <row r="122" spans="1:26" ht="12.75" x14ac:dyDescent="0.2">
      <c r="A122" s="710"/>
      <c r="B122" s="14" t="s">
        <v>503</v>
      </c>
      <c r="C122" s="7" t="s">
        <v>72</v>
      </c>
      <c r="D122" s="284"/>
      <c r="E122" s="5">
        <v>18</v>
      </c>
      <c r="F122" s="3">
        <v>0.12</v>
      </c>
      <c r="G122" s="3">
        <v>10</v>
      </c>
      <c r="H122" s="13">
        <v>0</v>
      </c>
      <c r="I122" s="29">
        <f t="shared" si="30"/>
        <v>0</v>
      </c>
      <c r="J122" s="30">
        <f t="shared" si="31"/>
        <v>0</v>
      </c>
      <c r="K122" s="93">
        <f t="shared" si="20"/>
        <v>4350</v>
      </c>
      <c r="L122" s="93">
        <f t="shared" si="21"/>
        <v>3190.0000000000005</v>
      </c>
      <c r="M122" s="93">
        <f t="shared" si="22"/>
        <v>3045</v>
      </c>
      <c r="N122" s="64">
        <v>2900</v>
      </c>
      <c r="O122" s="69"/>
      <c r="P122" s="132">
        <f t="shared" si="23"/>
        <v>2900</v>
      </c>
      <c r="Q122" s="218">
        <f t="shared" si="24"/>
        <v>5002.5</v>
      </c>
      <c r="R122" s="218">
        <f t="shared" si="26"/>
        <v>3668.5000000000005</v>
      </c>
      <c r="S122" s="218">
        <f t="shared" si="27"/>
        <v>3501.75</v>
      </c>
      <c r="T122" s="111">
        <v>3335</v>
      </c>
      <c r="U122" s="108"/>
      <c r="V122" s="79"/>
      <c r="W122" s="86"/>
      <c r="X122" s="244">
        <f t="shared" si="25"/>
        <v>3335</v>
      </c>
      <c r="Y122" s="272"/>
      <c r="Z122" s="111">
        <f t="shared" si="29"/>
        <v>2826.2711864406783</v>
      </c>
    </row>
    <row r="123" spans="1:26" ht="12.75" x14ac:dyDescent="0.2">
      <c r="A123" s="710"/>
      <c r="B123" s="14" t="s">
        <v>504</v>
      </c>
      <c r="C123" s="7" t="s">
        <v>71</v>
      </c>
      <c r="D123" s="284"/>
      <c r="E123" s="5">
        <v>26.5</v>
      </c>
      <c r="F123" s="3">
        <v>0.16</v>
      </c>
      <c r="G123" s="3">
        <v>8</v>
      </c>
      <c r="H123" s="13">
        <v>0</v>
      </c>
      <c r="I123" s="29">
        <f t="shared" si="30"/>
        <v>0</v>
      </c>
      <c r="J123" s="30">
        <f t="shared" si="31"/>
        <v>0</v>
      </c>
      <c r="K123" s="93">
        <f t="shared" si="20"/>
        <v>5925</v>
      </c>
      <c r="L123" s="93">
        <f t="shared" si="21"/>
        <v>4345</v>
      </c>
      <c r="M123" s="93">
        <f t="shared" si="22"/>
        <v>4147.5</v>
      </c>
      <c r="N123" s="64">
        <v>3950</v>
      </c>
      <c r="O123" s="69"/>
      <c r="P123" s="132">
        <f t="shared" si="23"/>
        <v>3950</v>
      </c>
      <c r="Q123" s="218">
        <f t="shared" si="24"/>
        <v>6817.5</v>
      </c>
      <c r="R123" s="218">
        <f t="shared" si="26"/>
        <v>4999.5</v>
      </c>
      <c r="S123" s="218">
        <f t="shared" si="27"/>
        <v>4772.25</v>
      </c>
      <c r="T123" s="111">
        <v>4545</v>
      </c>
      <c r="U123" s="108"/>
      <c r="V123" s="79"/>
      <c r="W123" s="86"/>
      <c r="X123" s="244">
        <f t="shared" si="25"/>
        <v>4545</v>
      </c>
      <c r="Y123" s="272"/>
      <c r="Z123" s="111">
        <f t="shared" si="29"/>
        <v>3851.6949152542375</v>
      </c>
    </row>
    <row r="124" spans="1:26" ht="12.75" x14ac:dyDescent="0.2">
      <c r="A124" s="710"/>
      <c r="B124" s="14" t="s">
        <v>505</v>
      </c>
      <c r="C124" s="7" t="s">
        <v>78</v>
      </c>
      <c r="D124" s="284"/>
      <c r="E124" s="5">
        <v>37.5</v>
      </c>
      <c r="F124" s="3">
        <v>0.25</v>
      </c>
      <c r="G124" s="3">
        <v>6</v>
      </c>
      <c r="H124" s="13">
        <v>0</v>
      </c>
      <c r="I124" s="29">
        <f t="shared" si="30"/>
        <v>0</v>
      </c>
      <c r="J124" s="30">
        <f t="shared" si="31"/>
        <v>0</v>
      </c>
      <c r="K124" s="93">
        <f t="shared" si="20"/>
        <v>7650</v>
      </c>
      <c r="L124" s="93">
        <f t="shared" si="21"/>
        <v>5610</v>
      </c>
      <c r="M124" s="93">
        <f t="shared" si="22"/>
        <v>5355</v>
      </c>
      <c r="N124" s="64">
        <v>5100</v>
      </c>
      <c r="O124" s="69"/>
      <c r="P124" s="132">
        <f t="shared" si="23"/>
        <v>5100</v>
      </c>
      <c r="Q124" s="218">
        <f t="shared" si="24"/>
        <v>8797.5</v>
      </c>
      <c r="R124" s="218">
        <f t="shared" si="26"/>
        <v>6451.5000000000009</v>
      </c>
      <c r="S124" s="218">
        <f t="shared" si="27"/>
        <v>6158.25</v>
      </c>
      <c r="T124" s="111">
        <v>5865</v>
      </c>
      <c r="U124" s="108"/>
      <c r="V124" s="79"/>
      <c r="W124" s="86"/>
      <c r="X124" s="244">
        <f t="shared" si="25"/>
        <v>5865</v>
      </c>
      <c r="Y124" s="272"/>
      <c r="Z124" s="111">
        <f t="shared" si="29"/>
        <v>4970.3389830508477</v>
      </c>
    </row>
    <row r="125" spans="1:26" ht="12.75" x14ac:dyDescent="0.2">
      <c r="A125" s="710"/>
      <c r="B125" s="14" t="s">
        <v>506</v>
      </c>
      <c r="C125" s="7" t="s">
        <v>78</v>
      </c>
      <c r="D125" s="284"/>
      <c r="E125" s="5">
        <v>39.5</v>
      </c>
      <c r="F125" s="3">
        <v>0.25</v>
      </c>
      <c r="G125" s="3">
        <v>6</v>
      </c>
      <c r="H125" s="13">
        <v>0</v>
      </c>
      <c r="I125" s="29">
        <f t="shared" si="30"/>
        <v>0</v>
      </c>
      <c r="J125" s="30">
        <f t="shared" si="31"/>
        <v>0</v>
      </c>
      <c r="K125" s="93">
        <f t="shared" si="20"/>
        <v>10800</v>
      </c>
      <c r="L125" s="93">
        <f t="shared" si="21"/>
        <v>7920.0000000000009</v>
      </c>
      <c r="M125" s="93">
        <f t="shared" si="22"/>
        <v>7560</v>
      </c>
      <c r="N125" s="64">
        <v>7200</v>
      </c>
      <c r="O125" s="69"/>
      <c r="P125" s="132">
        <f t="shared" si="23"/>
        <v>7200</v>
      </c>
      <c r="Q125" s="218">
        <f t="shared" si="24"/>
        <v>12420</v>
      </c>
      <c r="R125" s="218">
        <f t="shared" si="26"/>
        <v>9108</v>
      </c>
      <c r="S125" s="218">
        <f t="shared" si="27"/>
        <v>8694</v>
      </c>
      <c r="T125" s="111">
        <v>8280</v>
      </c>
      <c r="U125" s="108"/>
      <c r="V125" s="79"/>
      <c r="W125" s="86"/>
      <c r="X125" s="244">
        <f t="shared" si="25"/>
        <v>8280</v>
      </c>
      <c r="Y125" s="272"/>
      <c r="Z125" s="111">
        <f t="shared" si="29"/>
        <v>7016.9491525423737</v>
      </c>
    </row>
    <row r="126" spans="1:26" ht="12.75" x14ac:dyDescent="0.2">
      <c r="A126" s="710"/>
      <c r="B126" s="14" t="s">
        <v>507</v>
      </c>
      <c r="C126" s="7" t="s">
        <v>79</v>
      </c>
      <c r="D126" s="284"/>
      <c r="E126" s="5">
        <v>26.5</v>
      </c>
      <c r="F126" s="3">
        <v>0.14000000000000001</v>
      </c>
      <c r="G126" s="3">
        <v>8</v>
      </c>
      <c r="H126" s="13">
        <v>0</v>
      </c>
      <c r="I126" s="29">
        <f t="shared" si="30"/>
        <v>0</v>
      </c>
      <c r="J126" s="30">
        <f t="shared" si="31"/>
        <v>0</v>
      </c>
      <c r="K126" s="93">
        <f t="shared" si="20"/>
        <v>7350</v>
      </c>
      <c r="L126" s="93">
        <f t="shared" si="21"/>
        <v>5390</v>
      </c>
      <c r="M126" s="93">
        <f t="shared" si="22"/>
        <v>5145</v>
      </c>
      <c r="N126" s="64">
        <v>4900</v>
      </c>
      <c r="O126" s="69"/>
      <c r="P126" s="132">
        <f t="shared" si="23"/>
        <v>4900</v>
      </c>
      <c r="Q126" s="218">
        <f t="shared" si="24"/>
        <v>8475</v>
      </c>
      <c r="R126" s="218">
        <f t="shared" si="26"/>
        <v>6215.0000000000009</v>
      </c>
      <c r="S126" s="218">
        <f t="shared" si="27"/>
        <v>5932.5</v>
      </c>
      <c r="T126" s="111">
        <v>5650</v>
      </c>
      <c r="U126" s="108"/>
      <c r="V126" s="79"/>
      <c r="W126" s="86"/>
      <c r="X126" s="244">
        <f t="shared" si="25"/>
        <v>5650</v>
      </c>
      <c r="Y126" s="272"/>
      <c r="Z126" s="111">
        <f t="shared" si="29"/>
        <v>4788.1355932203396</v>
      </c>
    </row>
    <row r="127" spans="1:26" ht="12.75" x14ac:dyDescent="0.2">
      <c r="A127" s="710"/>
      <c r="B127" s="14" t="s">
        <v>508</v>
      </c>
      <c r="C127" s="7" t="s">
        <v>79</v>
      </c>
      <c r="D127" s="284"/>
      <c r="E127" s="5">
        <v>26.5</v>
      </c>
      <c r="F127" s="3">
        <v>0.14000000000000001</v>
      </c>
      <c r="G127" s="3">
        <v>8</v>
      </c>
      <c r="H127" s="13">
        <v>0</v>
      </c>
      <c r="I127" s="29">
        <f t="shared" si="30"/>
        <v>0</v>
      </c>
      <c r="J127" s="30">
        <f t="shared" si="31"/>
        <v>0</v>
      </c>
      <c r="K127" s="93">
        <f t="shared" si="20"/>
        <v>7350</v>
      </c>
      <c r="L127" s="93">
        <f t="shared" si="21"/>
        <v>5390</v>
      </c>
      <c r="M127" s="93">
        <f t="shared" si="22"/>
        <v>5145</v>
      </c>
      <c r="N127" s="64">
        <v>4900</v>
      </c>
      <c r="O127" s="69"/>
      <c r="P127" s="132">
        <f t="shared" si="23"/>
        <v>4900</v>
      </c>
      <c r="Q127" s="218">
        <f t="shared" si="24"/>
        <v>8475</v>
      </c>
      <c r="R127" s="218">
        <f t="shared" si="26"/>
        <v>6215.0000000000009</v>
      </c>
      <c r="S127" s="218">
        <f t="shared" si="27"/>
        <v>5932.5</v>
      </c>
      <c r="T127" s="111">
        <v>5650</v>
      </c>
      <c r="U127" s="108"/>
      <c r="V127" s="79"/>
      <c r="W127" s="86"/>
      <c r="X127" s="244">
        <f t="shared" si="25"/>
        <v>5650</v>
      </c>
      <c r="Y127" s="272"/>
      <c r="Z127" s="111">
        <f t="shared" si="29"/>
        <v>4788.1355932203396</v>
      </c>
    </row>
    <row r="128" spans="1:26" ht="12.75" x14ac:dyDescent="0.2">
      <c r="A128" s="710"/>
      <c r="B128" s="14" t="s">
        <v>509</v>
      </c>
      <c r="C128" s="7" t="s">
        <v>114</v>
      </c>
      <c r="D128" s="266" t="s">
        <v>296</v>
      </c>
      <c r="E128" s="5">
        <v>20</v>
      </c>
      <c r="F128" s="3">
        <v>0.13</v>
      </c>
      <c r="G128" s="3"/>
      <c r="H128" s="13">
        <v>0</v>
      </c>
      <c r="I128" s="29">
        <f t="shared" si="30"/>
        <v>0</v>
      </c>
      <c r="J128" s="30">
        <f t="shared" si="31"/>
        <v>0</v>
      </c>
      <c r="K128" s="93">
        <f t="shared" si="20"/>
        <v>6450</v>
      </c>
      <c r="L128" s="93">
        <f t="shared" si="21"/>
        <v>4730</v>
      </c>
      <c r="M128" s="93">
        <f t="shared" si="22"/>
        <v>4515</v>
      </c>
      <c r="N128" s="64">
        <v>4300</v>
      </c>
      <c r="O128" s="69">
        <v>2961.4</v>
      </c>
      <c r="P128" s="132">
        <f t="shared" si="23"/>
        <v>1338.6</v>
      </c>
      <c r="Q128" s="218">
        <f t="shared" si="24"/>
        <v>7425</v>
      </c>
      <c r="R128" s="218">
        <f t="shared" si="26"/>
        <v>5445</v>
      </c>
      <c r="S128" s="218">
        <f t="shared" si="27"/>
        <v>5197.5</v>
      </c>
      <c r="T128" s="111">
        <v>4950</v>
      </c>
      <c r="U128" s="108">
        <f>O128*1.1</f>
        <v>3257.5400000000004</v>
      </c>
      <c r="V128" s="79">
        <f>T128-U128</f>
        <v>1692.4599999999996</v>
      </c>
      <c r="W128" s="86">
        <v>1195</v>
      </c>
      <c r="X128" s="244">
        <f t="shared" si="25"/>
        <v>3497</v>
      </c>
      <c r="Y128" s="272">
        <v>1453</v>
      </c>
      <c r="Z128" s="111">
        <f t="shared" si="29"/>
        <v>4194.9152542372885</v>
      </c>
    </row>
    <row r="129" spans="1:26" ht="12.75" x14ac:dyDescent="0.2">
      <c r="A129" s="710"/>
      <c r="B129" s="14" t="s">
        <v>510</v>
      </c>
      <c r="C129" s="7" t="s">
        <v>113</v>
      </c>
      <c r="D129" s="266" t="s">
        <v>296</v>
      </c>
      <c r="E129" s="5">
        <v>25</v>
      </c>
      <c r="F129" s="3">
        <v>0.18</v>
      </c>
      <c r="G129" s="3"/>
      <c r="H129" s="13">
        <v>0</v>
      </c>
      <c r="I129" s="29">
        <f t="shared" si="30"/>
        <v>0</v>
      </c>
      <c r="J129" s="30">
        <f t="shared" si="31"/>
        <v>0</v>
      </c>
      <c r="K129" s="93">
        <f t="shared" si="20"/>
        <v>7800</v>
      </c>
      <c r="L129" s="93">
        <f t="shared" si="21"/>
        <v>5720.0000000000009</v>
      </c>
      <c r="M129" s="93">
        <f t="shared" si="22"/>
        <v>5460</v>
      </c>
      <c r="N129" s="64">
        <v>5200</v>
      </c>
      <c r="O129" s="69">
        <v>3861.4</v>
      </c>
      <c r="P129" s="132">
        <f t="shared" si="23"/>
        <v>1338.6</v>
      </c>
      <c r="Q129" s="218">
        <f t="shared" si="24"/>
        <v>8970</v>
      </c>
      <c r="R129" s="218">
        <f t="shared" si="26"/>
        <v>6578.0000000000009</v>
      </c>
      <c r="S129" s="218">
        <f t="shared" si="27"/>
        <v>6279</v>
      </c>
      <c r="T129" s="111">
        <v>5980</v>
      </c>
      <c r="U129" s="108">
        <f>O129*1.1</f>
        <v>4247.5400000000009</v>
      </c>
      <c r="V129" s="79">
        <f>T129-U129</f>
        <v>1732.4599999999991</v>
      </c>
      <c r="W129" s="86">
        <v>1195</v>
      </c>
      <c r="X129" s="244">
        <f t="shared" si="25"/>
        <v>4527</v>
      </c>
      <c r="Y129" s="272">
        <v>1453</v>
      </c>
      <c r="Z129" s="111">
        <f t="shared" si="29"/>
        <v>5067.7966101694919</v>
      </c>
    </row>
    <row r="130" spans="1:26" ht="13.5" thickBot="1" x14ac:dyDescent="0.25">
      <c r="A130" s="718"/>
      <c r="B130" s="173" t="s">
        <v>511</v>
      </c>
      <c r="C130" s="174" t="s">
        <v>112</v>
      </c>
      <c r="D130" s="268" t="s">
        <v>296</v>
      </c>
      <c r="E130" s="136">
        <v>36.5</v>
      </c>
      <c r="F130" s="176">
        <v>0.25</v>
      </c>
      <c r="G130" s="176"/>
      <c r="H130" s="178">
        <v>0</v>
      </c>
      <c r="I130" s="179">
        <f t="shared" si="30"/>
        <v>0</v>
      </c>
      <c r="J130" s="180">
        <f t="shared" si="31"/>
        <v>0</v>
      </c>
      <c r="K130" s="139">
        <f t="shared" si="20"/>
        <v>9150</v>
      </c>
      <c r="L130" s="139">
        <f t="shared" si="21"/>
        <v>6710.0000000000009</v>
      </c>
      <c r="M130" s="139">
        <f t="shared" si="22"/>
        <v>6405</v>
      </c>
      <c r="N130" s="140">
        <v>6100</v>
      </c>
      <c r="O130" s="141">
        <v>4761.3999999999996</v>
      </c>
      <c r="P130" s="142">
        <f t="shared" si="23"/>
        <v>1338.6000000000004</v>
      </c>
      <c r="Q130" s="219">
        <f t="shared" si="24"/>
        <v>10522.5</v>
      </c>
      <c r="R130" s="219">
        <f t="shared" si="26"/>
        <v>7716.5000000000009</v>
      </c>
      <c r="S130" s="219">
        <f t="shared" si="27"/>
        <v>7365.75</v>
      </c>
      <c r="T130" s="144">
        <v>7015</v>
      </c>
      <c r="U130" s="108">
        <f>O130*1.1</f>
        <v>5237.54</v>
      </c>
      <c r="V130" s="79">
        <f>T130-U130</f>
        <v>1777.46</v>
      </c>
      <c r="W130" s="86">
        <v>1195</v>
      </c>
      <c r="X130" s="244">
        <f t="shared" si="25"/>
        <v>5562</v>
      </c>
      <c r="Y130" s="272">
        <v>1453</v>
      </c>
      <c r="Z130" s="111">
        <f t="shared" si="29"/>
        <v>5944.9152542372885</v>
      </c>
    </row>
    <row r="131" spans="1:26" ht="13.5" thickTop="1" x14ac:dyDescent="0.2">
      <c r="A131" s="719" t="s">
        <v>346</v>
      </c>
      <c r="B131" s="212" t="s">
        <v>356</v>
      </c>
      <c r="C131" s="183" t="s">
        <v>360</v>
      </c>
      <c r="D131" s="283"/>
      <c r="E131" s="184">
        <v>12.5</v>
      </c>
      <c r="F131" s="163">
        <v>0.09</v>
      </c>
      <c r="G131" s="185">
        <v>10</v>
      </c>
      <c r="H131" s="164">
        <v>0</v>
      </c>
      <c r="I131" s="165">
        <f t="shared" si="30"/>
        <v>0</v>
      </c>
      <c r="J131" s="166">
        <f t="shared" si="31"/>
        <v>0</v>
      </c>
      <c r="K131" s="167">
        <f t="shared" si="20"/>
        <v>6525</v>
      </c>
      <c r="L131" s="167">
        <f t="shared" si="21"/>
        <v>4785</v>
      </c>
      <c r="M131" s="167">
        <f t="shared" si="22"/>
        <v>4567.5</v>
      </c>
      <c r="N131" s="168">
        <v>4350</v>
      </c>
      <c r="O131" s="169"/>
      <c r="P131" s="170">
        <f t="shared" si="23"/>
        <v>4350</v>
      </c>
      <c r="Q131" s="221">
        <f t="shared" si="24"/>
        <v>7185</v>
      </c>
      <c r="R131" s="221">
        <f t="shared" si="26"/>
        <v>5269</v>
      </c>
      <c r="S131" s="221">
        <f t="shared" si="27"/>
        <v>5029.5</v>
      </c>
      <c r="T131" s="172">
        <v>4790</v>
      </c>
      <c r="U131" s="108"/>
      <c r="V131" s="79"/>
      <c r="W131" s="86"/>
      <c r="X131" s="244">
        <f t="shared" si="25"/>
        <v>4790</v>
      </c>
      <c r="Y131" s="272"/>
      <c r="Z131" s="111">
        <f t="shared" si="29"/>
        <v>4059.3220338983051</v>
      </c>
    </row>
    <row r="132" spans="1:26" ht="12.75" x14ac:dyDescent="0.2">
      <c r="A132" s="713"/>
      <c r="B132" s="43" t="s">
        <v>357</v>
      </c>
      <c r="C132" s="35" t="s">
        <v>361</v>
      </c>
      <c r="D132" s="284"/>
      <c r="E132" s="36"/>
      <c r="F132" s="34"/>
      <c r="G132" s="34"/>
      <c r="H132" s="13">
        <v>0</v>
      </c>
      <c r="I132" s="29">
        <f t="shared" si="30"/>
        <v>0</v>
      </c>
      <c r="J132" s="30">
        <f t="shared" si="31"/>
        <v>0</v>
      </c>
      <c r="K132" s="93">
        <f t="shared" si="20"/>
        <v>0</v>
      </c>
      <c r="L132" s="93">
        <f t="shared" si="21"/>
        <v>0</v>
      </c>
      <c r="M132" s="93">
        <f t="shared" si="22"/>
        <v>0</v>
      </c>
      <c r="N132" s="64">
        <v>0</v>
      </c>
      <c r="O132" s="69"/>
      <c r="P132" s="132">
        <f t="shared" si="23"/>
        <v>0</v>
      </c>
      <c r="Q132" s="218">
        <f t="shared" si="24"/>
        <v>0</v>
      </c>
      <c r="R132" s="218">
        <f t="shared" si="26"/>
        <v>0</v>
      </c>
      <c r="S132" s="218">
        <f t="shared" si="27"/>
        <v>0</v>
      </c>
      <c r="T132" s="111">
        <f>N132*1.1</f>
        <v>0</v>
      </c>
      <c r="U132" s="108"/>
      <c r="V132" s="79"/>
      <c r="W132" s="86"/>
      <c r="X132" s="244">
        <f t="shared" si="25"/>
        <v>0</v>
      </c>
      <c r="Y132" s="272"/>
      <c r="Z132" s="111">
        <f t="shared" si="29"/>
        <v>0</v>
      </c>
    </row>
    <row r="133" spans="1:26" s="26" customFormat="1" ht="12.75" x14ac:dyDescent="0.2">
      <c r="A133" s="713"/>
      <c r="B133" s="43" t="s">
        <v>358</v>
      </c>
      <c r="C133" s="35" t="s">
        <v>362</v>
      </c>
      <c r="D133" s="277"/>
      <c r="E133" s="36"/>
      <c r="F133" s="34"/>
      <c r="G133" s="34"/>
      <c r="H133" s="13">
        <v>0</v>
      </c>
      <c r="I133" s="29">
        <f t="shared" si="30"/>
        <v>0</v>
      </c>
      <c r="J133" s="30">
        <f t="shared" si="31"/>
        <v>0</v>
      </c>
      <c r="K133" s="93">
        <f t="shared" si="20"/>
        <v>0</v>
      </c>
      <c r="L133" s="93">
        <f t="shared" si="21"/>
        <v>0</v>
      </c>
      <c r="M133" s="93">
        <f t="shared" si="22"/>
        <v>0</v>
      </c>
      <c r="N133" s="64">
        <v>0</v>
      </c>
      <c r="O133" s="69"/>
      <c r="P133" s="132">
        <f t="shared" si="23"/>
        <v>0</v>
      </c>
      <c r="Q133" s="218">
        <f t="shared" si="24"/>
        <v>0</v>
      </c>
      <c r="R133" s="218">
        <f t="shared" si="26"/>
        <v>0</v>
      </c>
      <c r="S133" s="218">
        <f t="shared" si="27"/>
        <v>0</v>
      </c>
      <c r="T133" s="111">
        <f>N133*1.1</f>
        <v>0</v>
      </c>
      <c r="U133" s="108"/>
      <c r="V133" s="79"/>
      <c r="W133" s="86"/>
      <c r="X133" s="244">
        <f t="shared" si="25"/>
        <v>0</v>
      </c>
      <c r="Y133" s="272"/>
      <c r="Z133" s="111">
        <f t="shared" si="29"/>
        <v>0</v>
      </c>
    </row>
    <row r="134" spans="1:26" s="26" customFormat="1" ht="13.5" thickBot="1" x14ac:dyDescent="0.25">
      <c r="A134" s="720"/>
      <c r="B134" s="214" t="s">
        <v>359</v>
      </c>
      <c r="C134" s="215" t="s">
        <v>363</v>
      </c>
      <c r="D134" s="285"/>
      <c r="E134" s="192"/>
      <c r="F134" s="177"/>
      <c r="G134" s="177"/>
      <c r="H134" s="178">
        <v>0</v>
      </c>
      <c r="I134" s="179">
        <f t="shared" si="30"/>
        <v>0</v>
      </c>
      <c r="J134" s="180">
        <f t="shared" si="31"/>
        <v>0</v>
      </c>
      <c r="K134" s="139">
        <f t="shared" ref="K134:K192" si="33">N134*1.5</f>
        <v>0</v>
      </c>
      <c r="L134" s="139">
        <f t="shared" ref="L134:L192" si="34">N134*1.1</f>
        <v>0</v>
      </c>
      <c r="M134" s="139">
        <f t="shared" ref="M134:M192" si="35">N134*1.05</f>
        <v>0</v>
      </c>
      <c r="N134" s="140">
        <v>0</v>
      </c>
      <c r="O134" s="141"/>
      <c r="P134" s="142">
        <f t="shared" ref="P134:P192" si="36">N134-O134</f>
        <v>0</v>
      </c>
      <c r="Q134" s="219">
        <f t="shared" ref="Q134:Q170" si="37">T134*1.5</f>
        <v>0</v>
      </c>
      <c r="R134" s="219">
        <f t="shared" si="26"/>
        <v>0</v>
      </c>
      <c r="S134" s="219">
        <f t="shared" si="27"/>
        <v>0</v>
      </c>
      <c r="T134" s="144">
        <f>N134*1.1</f>
        <v>0</v>
      </c>
      <c r="U134" s="108"/>
      <c r="V134" s="79"/>
      <c r="W134" s="86"/>
      <c r="X134" s="244">
        <f t="shared" ref="X134:X170" si="38">T134-Y134</f>
        <v>0</v>
      </c>
      <c r="Y134" s="272"/>
      <c r="Z134" s="111">
        <f t="shared" si="29"/>
        <v>0</v>
      </c>
    </row>
    <row r="135" spans="1:26" ht="13.5" thickTop="1" x14ac:dyDescent="0.2">
      <c r="A135" s="717" t="s">
        <v>159</v>
      </c>
      <c r="B135" s="160" t="s">
        <v>426</v>
      </c>
      <c r="C135" s="181" t="s">
        <v>68</v>
      </c>
      <c r="D135" s="283"/>
      <c r="E135" s="162">
        <v>15.2</v>
      </c>
      <c r="F135" s="163">
        <v>0.09</v>
      </c>
      <c r="G135" s="163">
        <v>10</v>
      </c>
      <c r="H135" s="164">
        <v>0</v>
      </c>
      <c r="I135" s="165">
        <f t="shared" si="30"/>
        <v>0</v>
      </c>
      <c r="J135" s="166">
        <f t="shared" si="31"/>
        <v>0</v>
      </c>
      <c r="K135" s="167">
        <f t="shared" si="33"/>
        <v>2625</v>
      </c>
      <c r="L135" s="167">
        <f t="shared" si="34"/>
        <v>1925.0000000000002</v>
      </c>
      <c r="M135" s="167">
        <f t="shared" si="35"/>
        <v>1837.5</v>
      </c>
      <c r="N135" s="168">
        <v>1750</v>
      </c>
      <c r="O135" s="169"/>
      <c r="P135" s="170">
        <f t="shared" si="36"/>
        <v>1750</v>
      </c>
      <c r="Q135" s="221">
        <f t="shared" si="37"/>
        <v>3015</v>
      </c>
      <c r="R135" s="221">
        <f t="shared" ref="R135:R170" si="39">T135*1.1</f>
        <v>2211</v>
      </c>
      <c r="S135" s="221">
        <f t="shared" ref="S135:S170" si="40">T135*1.05</f>
        <v>2110.5</v>
      </c>
      <c r="T135" s="172">
        <v>2010</v>
      </c>
      <c r="U135" s="108"/>
      <c r="V135" s="79"/>
      <c r="W135" s="86"/>
      <c r="X135" s="244">
        <f t="shared" si="38"/>
        <v>2010</v>
      </c>
      <c r="Y135" s="272"/>
      <c r="Z135" s="111">
        <f t="shared" ref="Z135:Z170" si="41">T135/1.18</f>
        <v>1703.3898305084747</v>
      </c>
    </row>
    <row r="136" spans="1:26" ht="14.25" customHeight="1" thickBot="1" x14ac:dyDescent="0.25">
      <c r="A136" s="718"/>
      <c r="B136" s="173" t="s">
        <v>261</v>
      </c>
      <c r="C136" s="174" t="s">
        <v>115</v>
      </c>
      <c r="D136" s="268" t="s">
        <v>292</v>
      </c>
      <c r="E136" s="136">
        <v>18.2</v>
      </c>
      <c r="F136" s="176">
        <v>0.17</v>
      </c>
      <c r="G136" s="176"/>
      <c r="H136" s="178">
        <v>0</v>
      </c>
      <c r="I136" s="179">
        <f t="shared" si="30"/>
        <v>0</v>
      </c>
      <c r="J136" s="180">
        <f t="shared" si="31"/>
        <v>0</v>
      </c>
      <c r="K136" s="139">
        <f t="shared" si="33"/>
        <v>5775</v>
      </c>
      <c r="L136" s="139">
        <f t="shared" si="34"/>
        <v>4235</v>
      </c>
      <c r="M136" s="139">
        <f t="shared" si="35"/>
        <v>4042.5</v>
      </c>
      <c r="N136" s="140">
        <v>3850</v>
      </c>
      <c r="O136" s="141">
        <v>2356</v>
      </c>
      <c r="P136" s="142">
        <f t="shared" si="36"/>
        <v>1494</v>
      </c>
      <c r="Q136" s="219">
        <f t="shared" si="37"/>
        <v>6459</v>
      </c>
      <c r="R136" s="219">
        <f t="shared" si="39"/>
        <v>4736.6000000000004</v>
      </c>
      <c r="S136" s="219">
        <f t="shared" si="40"/>
        <v>4521.3</v>
      </c>
      <c r="T136" s="144">
        <v>4306</v>
      </c>
      <c r="U136" s="108">
        <f>O136*1.1</f>
        <v>2591.6000000000004</v>
      </c>
      <c r="V136" s="79">
        <f t="shared" ref="V136:V187" si="42">T136-U136</f>
        <v>1714.3999999999996</v>
      </c>
      <c r="W136" s="86">
        <v>1040</v>
      </c>
      <c r="X136" s="244">
        <f t="shared" si="38"/>
        <v>2748</v>
      </c>
      <c r="Y136" s="272">
        <v>1558</v>
      </c>
      <c r="Z136" s="111">
        <f t="shared" si="41"/>
        <v>3649.1525423728817</v>
      </c>
    </row>
    <row r="137" spans="1:26" ht="13.5" thickTop="1" x14ac:dyDescent="0.2">
      <c r="A137" s="717" t="s">
        <v>143</v>
      </c>
      <c r="B137" s="160" t="s">
        <v>44</v>
      </c>
      <c r="C137" s="181" t="s">
        <v>71</v>
      </c>
      <c r="D137" s="283"/>
      <c r="E137" s="162">
        <v>25.5</v>
      </c>
      <c r="F137" s="163">
        <v>0.16</v>
      </c>
      <c r="G137" s="163">
        <v>8</v>
      </c>
      <c r="H137" s="164">
        <v>0</v>
      </c>
      <c r="I137" s="165">
        <f t="shared" si="30"/>
        <v>0</v>
      </c>
      <c r="J137" s="166">
        <f t="shared" si="31"/>
        <v>0</v>
      </c>
      <c r="K137" s="167">
        <f t="shared" si="33"/>
        <v>6225</v>
      </c>
      <c r="L137" s="167">
        <f t="shared" si="34"/>
        <v>4565</v>
      </c>
      <c r="M137" s="167">
        <f t="shared" si="35"/>
        <v>4357.5</v>
      </c>
      <c r="N137" s="168">
        <v>4150</v>
      </c>
      <c r="O137" s="169"/>
      <c r="P137" s="170">
        <f t="shared" si="36"/>
        <v>4150</v>
      </c>
      <c r="Q137" s="221">
        <f t="shared" si="37"/>
        <v>7200</v>
      </c>
      <c r="R137" s="221">
        <f t="shared" si="39"/>
        <v>5280</v>
      </c>
      <c r="S137" s="221">
        <f t="shared" si="40"/>
        <v>5040</v>
      </c>
      <c r="T137" s="172">
        <v>4800</v>
      </c>
      <c r="U137" s="108"/>
      <c r="V137" s="79"/>
      <c r="W137" s="86"/>
      <c r="X137" s="244">
        <f t="shared" si="38"/>
        <v>4800</v>
      </c>
      <c r="Y137" s="272"/>
      <c r="Z137" s="111">
        <f t="shared" si="41"/>
        <v>4067.7966101694919</v>
      </c>
    </row>
    <row r="138" spans="1:26" ht="12.75" x14ac:dyDescent="0.2">
      <c r="A138" s="710"/>
      <c r="B138" s="14" t="s">
        <v>401</v>
      </c>
      <c r="C138" s="7" t="s">
        <v>82</v>
      </c>
      <c r="D138" s="277"/>
      <c r="E138" s="5"/>
      <c r="F138" s="3"/>
      <c r="G138" s="3"/>
      <c r="H138" s="13"/>
      <c r="I138" s="29"/>
      <c r="J138" s="63"/>
      <c r="K138" s="93">
        <f t="shared" si="33"/>
        <v>7650</v>
      </c>
      <c r="L138" s="93">
        <f t="shared" si="34"/>
        <v>5610</v>
      </c>
      <c r="M138" s="93">
        <f t="shared" si="35"/>
        <v>5355</v>
      </c>
      <c r="N138" s="64">
        <v>5100</v>
      </c>
      <c r="O138" s="69"/>
      <c r="P138" s="132">
        <f>N138-O138</f>
        <v>5100</v>
      </c>
      <c r="Q138" s="218">
        <f t="shared" si="37"/>
        <v>8415</v>
      </c>
      <c r="R138" s="218">
        <f t="shared" si="39"/>
        <v>6171.0000000000009</v>
      </c>
      <c r="S138" s="218">
        <f t="shared" si="40"/>
        <v>5890.5</v>
      </c>
      <c r="T138" s="111">
        <f>N138*1.1</f>
        <v>5610</v>
      </c>
      <c r="U138" s="108"/>
      <c r="V138" s="79"/>
      <c r="W138" s="86"/>
      <c r="X138" s="244">
        <f t="shared" si="38"/>
        <v>5610</v>
      </c>
      <c r="Y138" s="272"/>
      <c r="Z138" s="111">
        <f t="shared" si="41"/>
        <v>4754.2372881355932</v>
      </c>
    </row>
    <row r="139" spans="1:26" ht="13.5" thickBot="1" x14ac:dyDescent="0.25">
      <c r="A139" s="718"/>
      <c r="B139" s="173" t="s">
        <v>512</v>
      </c>
      <c r="C139" s="174" t="s">
        <v>112</v>
      </c>
      <c r="D139" s="268" t="s">
        <v>296</v>
      </c>
      <c r="E139" s="136">
        <v>47.2</v>
      </c>
      <c r="F139" s="176">
        <v>0.26</v>
      </c>
      <c r="G139" s="176">
        <v>4</v>
      </c>
      <c r="H139" s="178">
        <v>0</v>
      </c>
      <c r="I139" s="179">
        <f t="shared" ref="I139:I170" si="43">H139*E139</f>
        <v>0</v>
      </c>
      <c r="J139" s="180">
        <f t="shared" ref="J139:J170" si="44">F139*H139</f>
        <v>0</v>
      </c>
      <c r="K139" s="139">
        <f t="shared" si="33"/>
        <v>22200</v>
      </c>
      <c r="L139" s="139">
        <f t="shared" si="34"/>
        <v>16280.000000000002</v>
      </c>
      <c r="M139" s="139">
        <f t="shared" si="35"/>
        <v>15540</v>
      </c>
      <c r="N139" s="140">
        <v>14800</v>
      </c>
      <c r="O139" s="141">
        <v>13461.4</v>
      </c>
      <c r="P139" s="142">
        <f t="shared" si="36"/>
        <v>1338.6000000000004</v>
      </c>
      <c r="Q139" s="236">
        <f t="shared" si="37"/>
        <v>25500</v>
      </c>
      <c r="R139" s="236">
        <f t="shared" si="39"/>
        <v>18700</v>
      </c>
      <c r="S139" s="236">
        <f t="shared" si="40"/>
        <v>17850</v>
      </c>
      <c r="T139" s="237">
        <v>17000</v>
      </c>
      <c r="U139" s="108">
        <f>O139*1.1</f>
        <v>14807.54</v>
      </c>
      <c r="V139" s="79">
        <f t="shared" si="42"/>
        <v>2192.4599999999991</v>
      </c>
      <c r="W139" s="86">
        <v>1195</v>
      </c>
      <c r="X139" s="244">
        <f t="shared" si="38"/>
        <v>15547</v>
      </c>
      <c r="Y139" s="272">
        <v>1453</v>
      </c>
      <c r="Z139" s="111">
        <f t="shared" si="41"/>
        <v>14406.77966101695</v>
      </c>
    </row>
    <row r="140" spans="1:26" ht="13.5" thickTop="1" x14ac:dyDescent="0.2">
      <c r="A140" s="721" t="s">
        <v>524</v>
      </c>
      <c r="B140" s="48" t="s">
        <v>525</v>
      </c>
      <c r="C140" s="239" t="s">
        <v>74</v>
      </c>
      <c r="D140" s="259"/>
      <c r="E140" s="231"/>
      <c r="F140" s="231"/>
      <c r="G140" s="231"/>
      <c r="H140" s="232"/>
      <c r="I140" s="231"/>
      <c r="J140" s="231"/>
      <c r="K140" s="233">
        <f>N140*1.5</f>
        <v>0</v>
      </c>
      <c r="L140" s="233">
        <f>N140*1.1</f>
        <v>0</v>
      </c>
      <c r="M140" s="233">
        <f>N140*1.05</f>
        <v>0</v>
      </c>
      <c r="N140" s="234"/>
      <c r="O140" s="83"/>
      <c r="P140" s="235">
        <f>N140-O140</f>
        <v>0</v>
      </c>
      <c r="Q140" s="236">
        <f t="shared" si="37"/>
        <v>2850</v>
      </c>
      <c r="R140" s="236">
        <f t="shared" si="39"/>
        <v>2090</v>
      </c>
      <c r="S140" s="236">
        <f t="shared" si="40"/>
        <v>1995</v>
      </c>
      <c r="T140" s="238">
        <v>1900</v>
      </c>
      <c r="U140" s="119">
        <f>O140*1.1</f>
        <v>0</v>
      </c>
      <c r="V140" s="89">
        <f>T140-U140</f>
        <v>1900</v>
      </c>
      <c r="W140" s="90"/>
      <c r="X140" s="244">
        <f t="shared" si="38"/>
        <v>1900</v>
      </c>
      <c r="Y140" s="272"/>
      <c r="Z140" s="111">
        <f t="shared" si="41"/>
        <v>1610.1694915254238</v>
      </c>
    </row>
    <row r="141" spans="1:26" ht="12.75" x14ac:dyDescent="0.2">
      <c r="A141" s="722"/>
      <c r="B141" s="48" t="s">
        <v>531</v>
      </c>
      <c r="C141" s="239" t="s">
        <v>305</v>
      </c>
      <c r="D141" s="259" t="s">
        <v>534</v>
      </c>
      <c r="E141" s="231"/>
      <c r="F141" s="231"/>
      <c r="G141" s="231"/>
      <c r="H141" s="232"/>
      <c r="I141" s="231"/>
      <c r="J141" s="231"/>
      <c r="K141" s="233">
        <f>N141*1.5</f>
        <v>0</v>
      </c>
      <c r="L141" s="233">
        <f>N141*1.1</f>
        <v>0</v>
      </c>
      <c r="M141" s="233">
        <f>N141*1.05</f>
        <v>0</v>
      </c>
      <c r="N141" s="234"/>
      <c r="O141" s="83"/>
      <c r="P141" s="235">
        <f>N141-O141</f>
        <v>0</v>
      </c>
      <c r="Q141" s="236">
        <f t="shared" si="37"/>
        <v>5115</v>
      </c>
      <c r="R141" s="236">
        <f t="shared" si="39"/>
        <v>3751.0000000000005</v>
      </c>
      <c r="S141" s="236">
        <f t="shared" si="40"/>
        <v>3580.5</v>
      </c>
      <c r="T141" s="238">
        <v>3410</v>
      </c>
      <c r="U141" s="119">
        <f>O141*1.1</f>
        <v>0</v>
      </c>
      <c r="V141" s="241">
        <f>T141-U141</f>
        <v>3410</v>
      </c>
      <c r="W141" s="242"/>
      <c r="X141" s="244">
        <f t="shared" si="38"/>
        <v>2324</v>
      </c>
      <c r="Y141" s="272">
        <v>1086</v>
      </c>
      <c r="Z141" s="111">
        <f t="shared" si="41"/>
        <v>2889.8305084745766</v>
      </c>
    </row>
    <row r="142" spans="1:26" ht="12.75" x14ac:dyDescent="0.2">
      <c r="A142" s="722"/>
      <c r="B142" s="48" t="s">
        <v>526</v>
      </c>
      <c r="C142" s="239" t="s">
        <v>529</v>
      </c>
      <c r="D142" s="259"/>
      <c r="E142" s="231"/>
      <c r="F142" s="231"/>
      <c r="G142" s="231"/>
      <c r="H142" s="232"/>
      <c r="I142" s="231"/>
      <c r="J142" s="231"/>
      <c r="K142" s="233">
        <f>N142*1.5</f>
        <v>0</v>
      </c>
      <c r="L142" s="233">
        <f>N142*1.1</f>
        <v>0</v>
      </c>
      <c r="M142" s="233">
        <f>N142*1.05</f>
        <v>0</v>
      </c>
      <c r="N142" s="234"/>
      <c r="O142" s="83"/>
      <c r="P142" s="235">
        <f>N142-O142</f>
        <v>0</v>
      </c>
      <c r="Q142" s="236">
        <f t="shared" si="37"/>
        <v>3975</v>
      </c>
      <c r="R142" s="236">
        <f t="shared" si="39"/>
        <v>2915.0000000000005</v>
      </c>
      <c r="S142" s="236">
        <f t="shared" si="40"/>
        <v>2782.5</v>
      </c>
      <c r="T142" s="238">
        <v>2650</v>
      </c>
      <c r="U142" s="119">
        <f>O142*1.1</f>
        <v>0</v>
      </c>
      <c r="V142" s="241">
        <f>T142-U142</f>
        <v>2650</v>
      </c>
      <c r="W142" s="242"/>
      <c r="X142" s="244">
        <f t="shared" si="38"/>
        <v>2650</v>
      </c>
      <c r="Y142" s="272"/>
      <c r="Z142" s="111">
        <f t="shared" si="41"/>
        <v>2245.7627118644068</v>
      </c>
    </row>
    <row r="143" spans="1:26" ht="23.25" thickBot="1" x14ac:dyDescent="0.25">
      <c r="A143" s="723"/>
      <c r="B143" s="48" t="s">
        <v>530</v>
      </c>
      <c r="C143" s="239" t="s">
        <v>91</v>
      </c>
      <c r="D143" s="266" t="s">
        <v>287</v>
      </c>
      <c r="E143" s="231"/>
      <c r="F143" s="231"/>
      <c r="G143" s="231"/>
      <c r="H143" s="232"/>
      <c r="I143" s="231"/>
      <c r="J143" s="231"/>
      <c r="K143" s="233">
        <f>N143*1.5</f>
        <v>0</v>
      </c>
      <c r="L143" s="233">
        <f>N143*1.1</f>
        <v>0</v>
      </c>
      <c r="M143" s="233">
        <f>N143*1.05</f>
        <v>0</v>
      </c>
      <c r="N143" s="234"/>
      <c r="O143" s="83"/>
      <c r="P143" s="235">
        <f>N143-O143</f>
        <v>0</v>
      </c>
      <c r="Q143" s="236">
        <f t="shared" si="37"/>
        <v>9589.5</v>
      </c>
      <c r="R143" s="236">
        <f t="shared" si="39"/>
        <v>7032.3</v>
      </c>
      <c r="S143" s="236">
        <v>6393</v>
      </c>
      <c r="T143" s="238">
        <v>6393</v>
      </c>
      <c r="U143" s="119">
        <f>O143*1.1</f>
        <v>0</v>
      </c>
      <c r="V143" s="241">
        <f>T143-U143</f>
        <v>6393</v>
      </c>
      <c r="W143" s="242"/>
      <c r="X143" s="244">
        <f t="shared" si="38"/>
        <v>4005</v>
      </c>
      <c r="Y143" s="272">
        <v>2388</v>
      </c>
      <c r="Z143" s="111">
        <f t="shared" si="41"/>
        <v>5417.7966101694919</v>
      </c>
    </row>
    <row r="144" spans="1:26" ht="13.5" thickTop="1" x14ac:dyDescent="0.2">
      <c r="A144" s="717" t="s">
        <v>144</v>
      </c>
      <c r="B144" s="160" t="s">
        <v>310</v>
      </c>
      <c r="C144" s="181" t="s">
        <v>1</v>
      </c>
      <c r="D144" s="283"/>
      <c r="E144" s="162">
        <v>5.8</v>
      </c>
      <c r="F144" s="163">
        <v>7.0000000000000007E-2</v>
      </c>
      <c r="G144" s="163">
        <v>10</v>
      </c>
      <c r="H144" s="164">
        <v>0</v>
      </c>
      <c r="I144" s="165">
        <f t="shared" si="43"/>
        <v>0</v>
      </c>
      <c r="J144" s="166">
        <f t="shared" si="44"/>
        <v>0</v>
      </c>
      <c r="K144" s="167">
        <f t="shared" si="33"/>
        <v>2700</v>
      </c>
      <c r="L144" s="167">
        <f t="shared" si="34"/>
        <v>1980.0000000000002</v>
      </c>
      <c r="M144" s="167">
        <f t="shared" si="35"/>
        <v>1890</v>
      </c>
      <c r="N144" s="168">
        <v>1800</v>
      </c>
      <c r="O144" s="169"/>
      <c r="P144" s="170">
        <f t="shared" si="36"/>
        <v>1800</v>
      </c>
      <c r="Q144" s="222">
        <f t="shared" si="37"/>
        <v>3000</v>
      </c>
      <c r="R144" s="222">
        <f t="shared" si="39"/>
        <v>2200</v>
      </c>
      <c r="S144" s="222">
        <f t="shared" si="40"/>
        <v>2100</v>
      </c>
      <c r="T144" s="129">
        <v>2000</v>
      </c>
      <c r="U144" s="108"/>
      <c r="V144" s="79"/>
      <c r="W144" s="86"/>
      <c r="X144" s="244">
        <f t="shared" si="38"/>
        <v>2000</v>
      </c>
      <c r="Y144" s="272"/>
      <c r="Z144" s="111">
        <f t="shared" si="41"/>
        <v>1694.9152542372883</v>
      </c>
    </row>
    <row r="145" spans="1:26" ht="12.75" x14ac:dyDescent="0.2">
      <c r="A145" s="710"/>
      <c r="B145" s="14" t="s">
        <v>309</v>
      </c>
      <c r="C145" s="7" t="s">
        <v>1</v>
      </c>
      <c r="D145" s="284"/>
      <c r="E145" s="5">
        <v>5.8</v>
      </c>
      <c r="F145" s="3">
        <v>7.0000000000000007E-2</v>
      </c>
      <c r="G145" s="3">
        <v>10</v>
      </c>
      <c r="H145" s="13">
        <v>0</v>
      </c>
      <c r="I145" s="29">
        <f t="shared" si="43"/>
        <v>0</v>
      </c>
      <c r="J145" s="30">
        <f t="shared" si="44"/>
        <v>0</v>
      </c>
      <c r="K145" s="93">
        <f t="shared" si="33"/>
        <v>3105</v>
      </c>
      <c r="L145" s="93">
        <f t="shared" si="34"/>
        <v>2277</v>
      </c>
      <c r="M145" s="93">
        <f t="shared" si="35"/>
        <v>2173.5</v>
      </c>
      <c r="N145" s="64">
        <v>2070</v>
      </c>
      <c r="O145" s="69"/>
      <c r="P145" s="132">
        <f t="shared" si="36"/>
        <v>2070</v>
      </c>
      <c r="Q145" s="218">
        <f t="shared" si="37"/>
        <v>3570</v>
      </c>
      <c r="R145" s="218">
        <f t="shared" si="39"/>
        <v>2618</v>
      </c>
      <c r="S145" s="218">
        <f t="shared" si="40"/>
        <v>2499</v>
      </c>
      <c r="T145" s="111">
        <v>2380</v>
      </c>
      <c r="U145" s="108"/>
      <c r="V145" s="79"/>
      <c r="W145" s="86"/>
      <c r="X145" s="244">
        <f t="shared" si="38"/>
        <v>2380</v>
      </c>
      <c r="Y145" s="272"/>
      <c r="Z145" s="111">
        <f t="shared" si="41"/>
        <v>2016.949152542373</v>
      </c>
    </row>
    <row r="146" spans="1:26" ht="12.75" x14ac:dyDescent="0.2">
      <c r="A146" s="710"/>
      <c r="B146" s="14" t="s">
        <v>193</v>
      </c>
      <c r="C146" s="7" t="s">
        <v>2</v>
      </c>
      <c r="D146" s="284"/>
      <c r="E146" s="5">
        <v>6.4</v>
      </c>
      <c r="F146" s="3">
        <v>7.0000000000000007E-2</v>
      </c>
      <c r="G146" s="3">
        <v>10</v>
      </c>
      <c r="H146" s="13">
        <v>0</v>
      </c>
      <c r="I146" s="29">
        <f t="shared" si="43"/>
        <v>0</v>
      </c>
      <c r="J146" s="30">
        <f t="shared" si="44"/>
        <v>0</v>
      </c>
      <c r="K146" s="93">
        <f t="shared" si="33"/>
        <v>3225</v>
      </c>
      <c r="L146" s="93">
        <f t="shared" si="34"/>
        <v>2365</v>
      </c>
      <c r="M146" s="93">
        <f t="shared" si="35"/>
        <v>2257.5</v>
      </c>
      <c r="N146" s="64">
        <v>2150</v>
      </c>
      <c r="O146" s="69"/>
      <c r="P146" s="132">
        <f t="shared" si="36"/>
        <v>2150</v>
      </c>
      <c r="Q146" s="218">
        <f t="shared" si="37"/>
        <v>3547.5</v>
      </c>
      <c r="R146" s="218">
        <f t="shared" si="39"/>
        <v>2601.5</v>
      </c>
      <c r="S146" s="218">
        <f t="shared" si="40"/>
        <v>2483.25</v>
      </c>
      <c r="T146" s="111">
        <f>N146*1.1</f>
        <v>2365</v>
      </c>
      <c r="U146" s="108"/>
      <c r="V146" s="79"/>
      <c r="W146" s="86"/>
      <c r="X146" s="244">
        <f t="shared" si="38"/>
        <v>2365</v>
      </c>
      <c r="Y146" s="272"/>
      <c r="Z146" s="111">
        <f t="shared" si="41"/>
        <v>2004.2372881355934</v>
      </c>
    </row>
    <row r="147" spans="1:26" ht="12.75" x14ac:dyDescent="0.2">
      <c r="A147" s="710"/>
      <c r="B147" s="14" t="s">
        <v>195</v>
      </c>
      <c r="C147" s="7" t="s">
        <v>2</v>
      </c>
      <c r="D147" s="284"/>
      <c r="E147" s="5">
        <v>6.4</v>
      </c>
      <c r="F147" s="3">
        <v>7.0000000000000007E-2</v>
      </c>
      <c r="G147" s="3">
        <v>10</v>
      </c>
      <c r="H147" s="13">
        <v>0</v>
      </c>
      <c r="I147" s="29">
        <f t="shared" si="43"/>
        <v>0</v>
      </c>
      <c r="J147" s="30">
        <f t="shared" si="44"/>
        <v>0</v>
      </c>
      <c r="K147" s="93">
        <f t="shared" si="33"/>
        <v>3712.5</v>
      </c>
      <c r="L147" s="93">
        <f t="shared" si="34"/>
        <v>2722.5</v>
      </c>
      <c r="M147" s="93">
        <f t="shared" si="35"/>
        <v>2598.75</v>
      </c>
      <c r="N147" s="64">
        <v>2475</v>
      </c>
      <c r="O147" s="69"/>
      <c r="P147" s="132">
        <f t="shared" si="36"/>
        <v>2475</v>
      </c>
      <c r="Q147" s="218">
        <f t="shared" si="37"/>
        <v>4275</v>
      </c>
      <c r="R147" s="218">
        <f t="shared" si="39"/>
        <v>3135.0000000000005</v>
      </c>
      <c r="S147" s="218">
        <f t="shared" si="40"/>
        <v>2992.5</v>
      </c>
      <c r="T147" s="111">
        <v>2850</v>
      </c>
      <c r="U147" s="108"/>
      <c r="V147" s="79"/>
      <c r="W147" s="86"/>
      <c r="X147" s="244">
        <f t="shared" si="38"/>
        <v>2850</v>
      </c>
      <c r="Y147" s="272"/>
      <c r="Z147" s="111">
        <f t="shared" si="41"/>
        <v>2415.2542372881358</v>
      </c>
    </row>
    <row r="148" spans="1:26" ht="12.75" x14ac:dyDescent="0.2">
      <c r="A148" s="710"/>
      <c r="B148" s="14" t="s">
        <v>194</v>
      </c>
      <c r="C148" s="7" t="s">
        <v>3</v>
      </c>
      <c r="D148" s="284"/>
      <c r="E148" s="5">
        <v>11.5</v>
      </c>
      <c r="F148" s="3">
        <v>0.09</v>
      </c>
      <c r="G148" s="3">
        <v>10</v>
      </c>
      <c r="H148" s="13">
        <v>0</v>
      </c>
      <c r="I148" s="29">
        <f t="shared" si="43"/>
        <v>0</v>
      </c>
      <c r="J148" s="30">
        <f t="shared" si="44"/>
        <v>0</v>
      </c>
      <c r="K148" s="93">
        <f t="shared" si="33"/>
        <v>3975</v>
      </c>
      <c r="L148" s="93">
        <f t="shared" si="34"/>
        <v>2915.0000000000005</v>
      </c>
      <c r="M148" s="93">
        <f t="shared" si="35"/>
        <v>2782.5</v>
      </c>
      <c r="N148" s="64">
        <v>2650</v>
      </c>
      <c r="O148" s="69"/>
      <c r="P148" s="132">
        <f t="shared" si="36"/>
        <v>2650</v>
      </c>
      <c r="Q148" s="218">
        <f t="shared" si="37"/>
        <v>4372.5000000000009</v>
      </c>
      <c r="R148" s="218">
        <f t="shared" si="39"/>
        <v>3206.5000000000009</v>
      </c>
      <c r="S148" s="218">
        <f t="shared" si="40"/>
        <v>3060.7500000000005</v>
      </c>
      <c r="T148" s="111">
        <f>N148*1.1</f>
        <v>2915.0000000000005</v>
      </c>
      <c r="U148" s="108"/>
      <c r="V148" s="79"/>
      <c r="W148" s="86"/>
      <c r="X148" s="244">
        <f t="shared" si="38"/>
        <v>2915.0000000000005</v>
      </c>
      <c r="Y148" s="272"/>
      <c r="Z148" s="111">
        <f t="shared" si="41"/>
        <v>2470.3389830508481</v>
      </c>
    </row>
    <row r="149" spans="1:26" ht="12.75" x14ac:dyDescent="0.2">
      <c r="A149" s="710"/>
      <c r="B149" s="14" t="s">
        <v>196</v>
      </c>
      <c r="C149" s="7" t="s">
        <v>3</v>
      </c>
      <c r="D149" s="284"/>
      <c r="E149" s="5">
        <v>11.5</v>
      </c>
      <c r="F149" s="3">
        <v>0.09</v>
      </c>
      <c r="G149" s="3">
        <v>10</v>
      </c>
      <c r="H149" s="13">
        <v>0</v>
      </c>
      <c r="I149" s="29">
        <f t="shared" si="43"/>
        <v>0</v>
      </c>
      <c r="J149" s="30">
        <f t="shared" si="44"/>
        <v>0</v>
      </c>
      <c r="K149" s="93">
        <f t="shared" si="33"/>
        <v>4575</v>
      </c>
      <c r="L149" s="93">
        <f t="shared" si="34"/>
        <v>3355.0000000000005</v>
      </c>
      <c r="M149" s="93">
        <f t="shared" si="35"/>
        <v>3202.5</v>
      </c>
      <c r="N149" s="64">
        <v>3050</v>
      </c>
      <c r="O149" s="69"/>
      <c r="P149" s="132">
        <f t="shared" si="36"/>
        <v>3050</v>
      </c>
      <c r="Q149" s="218">
        <f t="shared" si="37"/>
        <v>5265</v>
      </c>
      <c r="R149" s="218">
        <f t="shared" si="39"/>
        <v>3861.0000000000005</v>
      </c>
      <c r="S149" s="218">
        <f t="shared" si="40"/>
        <v>3685.5</v>
      </c>
      <c r="T149" s="111">
        <v>3510</v>
      </c>
      <c r="U149" s="108"/>
      <c r="V149" s="79"/>
      <c r="W149" s="86"/>
      <c r="X149" s="244">
        <f t="shared" si="38"/>
        <v>3510</v>
      </c>
      <c r="Y149" s="272"/>
      <c r="Z149" s="111">
        <f t="shared" si="41"/>
        <v>2974.5762711864409</v>
      </c>
    </row>
    <row r="150" spans="1:26" ht="12.75" x14ac:dyDescent="0.2">
      <c r="A150" s="710"/>
      <c r="B150" s="14" t="s">
        <v>191</v>
      </c>
      <c r="C150" s="7" t="s">
        <v>4</v>
      </c>
      <c r="D150" s="284"/>
      <c r="E150" s="5">
        <v>11.6</v>
      </c>
      <c r="F150" s="3">
        <v>0.14000000000000001</v>
      </c>
      <c r="G150" s="3">
        <v>10</v>
      </c>
      <c r="H150" s="13">
        <v>0</v>
      </c>
      <c r="I150" s="29">
        <f t="shared" si="43"/>
        <v>0</v>
      </c>
      <c r="J150" s="30">
        <f t="shared" si="44"/>
        <v>0</v>
      </c>
      <c r="K150" s="93">
        <f t="shared" si="33"/>
        <v>5850</v>
      </c>
      <c r="L150" s="93">
        <f t="shared" si="34"/>
        <v>4290</v>
      </c>
      <c r="M150" s="93">
        <f t="shared" si="35"/>
        <v>4095</v>
      </c>
      <c r="N150" s="64">
        <v>3900</v>
      </c>
      <c r="O150" s="69"/>
      <c r="P150" s="132">
        <f t="shared" si="36"/>
        <v>3900</v>
      </c>
      <c r="Q150" s="218">
        <f t="shared" si="37"/>
        <v>6435</v>
      </c>
      <c r="R150" s="218">
        <f t="shared" si="39"/>
        <v>4719</v>
      </c>
      <c r="S150" s="218">
        <f t="shared" si="40"/>
        <v>4504.5</v>
      </c>
      <c r="T150" s="111">
        <f>N150*1.1</f>
        <v>4290</v>
      </c>
      <c r="U150" s="108"/>
      <c r="V150" s="79"/>
      <c r="W150" s="86"/>
      <c r="X150" s="244">
        <f t="shared" si="38"/>
        <v>4290</v>
      </c>
      <c r="Y150" s="272"/>
      <c r="Z150" s="111">
        <f t="shared" si="41"/>
        <v>3635.5932203389834</v>
      </c>
    </row>
    <row r="151" spans="1:26" ht="12.75" x14ac:dyDescent="0.2">
      <c r="A151" s="710"/>
      <c r="B151" s="14" t="s">
        <v>197</v>
      </c>
      <c r="C151" s="7" t="s">
        <v>4</v>
      </c>
      <c r="D151" s="284"/>
      <c r="E151" s="5">
        <v>11.6</v>
      </c>
      <c r="F151" s="3">
        <v>0.14000000000000001</v>
      </c>
      <c r="G151" s="3">
        <v>10</v>
      </c>
      <c r="H151" s="13">
        <v>0</v>
      </c>
      <c r="I151" s="29">
        <f t="shared" si="43"/>
        <v>0</v>
      </c>
      <c r="J151" s="30">
        <f t="shared" si="44"/>
        <v>0</v>
      </c>
      <c r="K151" s="93">
        <f t="shared" si="33"/>
        <v>6727.5</v>
      </c>
      <c r="L151" s="93">
        <f t="shared" si="34"/>
        <v>4933.5</v>
      </c>
      <c r="M151" s="93">
        <f t="shared" si="35"/>
        <v>4709.25</v>
      </c>
      <c r="N151" s="64">
        <v>4485</v>
      </c>
      <c r="O151" s="69"/>
      <c r="P151" s="132">
        <f t="shared" si="36"/>
        <v>4485</v>
      </c>
      <c r="Q151" s="218">
        <f t="shared" si="37"/>
        <v>7740</v>
      </c>
      <c r="R151" s="218">
        <f t="shared" si="39"/>
        <v>5676.0000000000009</v>
      </c>
      <c r="S151" s="218">
        <f t="shared" si="40"/>
        <v>5418</v>
      </c>
      <c r="T151" s="111">
        <v>5160</v>
      </c>
      <c r="U151" s="108"/>
      <c r="V151" s="79"/>
      <c r="W151" s="86"/>
      <c r="X151" s="244">
        <f t="shared" si="38"/>
        <v>5160</v>
      </c>
      <c r="Y151" s="272"/>
      <c r="Z151" s="111">
        <f t="shared" si="41"/>
        <v>4372.8813559322034</v>
      </c>
    </row>
    <row r="152" spans="1:26" ht="12.75" x14ac:dyDescent="0.2">
      <c r="A152" s="710"/>
      <c r="B152" s="14" t="s">
        <v>192</v>
      </c>
      <c r="C152" s="7" t="s">
        <v>5</v>
      </c>
      <c r="D152" s="284"/>
      <c r="E152" s="5">
        <v>14.3</v>
      </c>
      <c r="F152" s="3">
        <v>0.17</v>
      </c>
      <c r="G152" s="3">
        <v>10</v>
      </c>
      <c r="H152" s="13">
        <v>0</v>
      </c>
      <c r="I152" s="29">
        <f t="shared" si="43"/>
        <v>0</v>
      </c>
      <c r="J152" s="30">
        <f t="shared" si="44"/>
        <v>0</v>
      </c>
      <c r="K152" s="93">
        <f t="shared" si="33"/>
        <v>6450</v>
      </c>
      <c r="L152" s="93">
        <f t="shared" si="34"/>
        <v>4730</v>
      </c>
      <c r="M152" s="93">
        <f t="shared" si="35"/>
        <v>4515</v>
      </c>
      <c r="N152" s="64">
        <v>4300</v>
      </c>
      <c r="O152" s="69"/>
      <c r="P152" s="132">
        <f t="shared" si="36"/>
        <v>4300</v>
      </c>
      <c r="Q152" s="218">
        <f t="shared" si="37"/>
        <v>7095</v>
      </c>
      <c r="R152" s="218">
        <f t="shared" si="39"/>
        <v>5203</v>
      </c>
      <c r="S152" s="218">
        <f t="shared" si="40"/>
        <v>4966.5</v>
      </c>
      <c r="T152" s="111">
        <f>N152*1.1</f>
        <v>4730</v>
      </c>
      <c r="U152" s="108"/>
      <c r="V152" s="79"/>
      <c r="W152" s="86"/>
      <c r="X152" s="244">
        <f t="shared" si="38"/>
        <v>4730</v>
      </c>
      <c r="Y152" s="272"/>
      <c r="Z152" s="111">
        <f t="shared" si="41"/>
        <v>4008.4745762711868</v>
      </c>
    </row>
    <row r="153" spans="1:26" ht="12.75" x14ac:dyDescent="0.2">
      <c r="A153" s="710"/>
      <c r="B153" s="14" t="s">
        <v>198</v>
      </c>
      <c r="C153" s="7" t="s">
        <v>5</v>
      </c>
      <c r="D153" s="284"/>
      <c r="E153" s="5">
        <v>14.3</v>
      </c>
      <c r="F153" s="3">
        <v>0.17</v>
      </c>
      <c r="G153" s="3">
        <v>10</v>
      </c>
      <c r="H153" s="13">
        <v>0</v>
      </c>
      <c r="I153" s="29">
        <f t="shared" si="43"/>
        <v>0</v>
      </c>
      <c r="J153" s="30">
        <f t="shared" si="44"/>
        <v>0</v>
      </c>
      <c r="K153" s="93">
        <f t="shared" si="33"/>
        <v>7425</v>
      </c>
      <c r="L153" s="93">
        <f t="shared" si="34"/>
        <v>5445</v>
      </c>
      <c r="M153" s="93">
        <f t="shared" si="35"/>
        <v>5197.5</v>
      </c>
      <c r="N153" s="64">
        <v>4950</v>
      </c>
      <c r="O153" s="69"/>
      <c r="P153" s="132">
        <f t="shared" si="36"/>
        <v>4950</v>
      </c>
      <c r="Q153" s="218">
        <f t="shared" si="37"/>
        <v>8550</v>
      </c>
      <c r="R153" s="218">
        <f t="shared" si="39"/>
        <v>6270.0000000000009</v>
      </c>
      <c r="S153" s="218">
        <f t="shared" si="40"/>
        <v>5985</v>
      </c>
      <c r="T153" s="111">
        <v>5700</v>
      </c>
      <c r="U153" s="108"/>
      <c r="V153" s="79"/>
      <c r="W153" s="86"/>
      <c r="X153" s="244">
        <f t="shared" si="38"/>
        <v>5700</v>
      </c>
      <c r="Y153" s="272"/>
      <c r="Z153" s="111">
        <f t="shared" si="41"/>
        <v>4830.5084745762715</v>
      </c>
    </row>
    <row r="154" spans="1:26" ht="12.75" x14ac:dyDescent="0.2">
      <c r="A154" s="710"/>
      <c r="B154" s="14" t="s">
        <v>366</v>
      </c>
      <c r="C154" s="7" t="s">
        <v>75</v>
      </c>
      <c r="D154" s="284"/>
      <c r="E154" s="5">
        <v>34.299999999999997</v>
      </c>
      <c r="F154" s="3">
        <v>0.23</v>
      </c>
      <c r="G154" s="3">
        <v>6</v>
      </c>
      <c r="H154" s="13">
        <v>0</v>
      </c>
      <c r="I154" s="29">
        <f t="shared" si="43"/>
        <v>0</v>
      </c>
      <c r="J154" s="30">
        <f t="shared" si="44"/>
        <v>0</v>
      </c>
      <c r="K154" s="93">
        <f t="shared" si="33"/>
        <v>9750</v>
      </c>
      <c r="L154" s="93">
        <f t="shared" si="34"/>
        <v>7150.0000000000009</v>
      </c>
      <c r="M154" s="93">
        <f t="shared" si="35"/>
        <v>6825</v>
      </c>
      <c r="N154" s="64">
        <v>6500</v>
      </c>
      <c r="O154" s="69"/>
      <c r="P154" s="132">
        <f t="shared" si="36"/>
        <v>6500</v>
      </c>
      <c r="Q154" s="218">
        <f t="shared" si="37"/>
        <v>10725.000000000002</v>
      </c>
      <c r="R154" s="218">
        <f t="shared" si="39"/>
        <v>7865.0000000000018</v>
      </c>
      <c r="S154" s="218">
        <f t="shared" si="40"/>
        <v>7507.5000000000009</v>
      </c>
      <c r="T154" s="111">
        <f>N154*1.1</f>
        <v>7150.0000000000009</v>
      </c>
      <c r="U154" s="108"/>
      <c r="V154" s="79"/>
      <c r="W154" s="86"/>
      <c r="X154" s="244">
        <f t="shared" si="38"/>
        <v>7150.0000000000009</v>
      </c>
      <c r="Y154" s="272"/>
      <c r="Z154" s="111">
        <f t="shared" si="41"/>
        <v>6059.3220338983065</v>
      </c>
    </row>
    <row r="155" spans="1:26" ht="12.75" x14ac:dyDescent="0.2">
      <c r="A155" s="710"/>
      <c r="B155" s="14" t="s">
        <v>367</v>
      </c>
      <c r="C155" s="7" t="s">
        <v>75</v>
      </c>
      <c r="D155" s="284"/>
      <c r="E155" s="5">
        <v>34.299999999999997</v>
      </c>
      <c r="F155" s="3">
        <v>0.23</v>
      </c>
      <c r="G155" s="3">
        <v>6</v>
      </c>
      <c r="H155" s="13">
        <v>0</v>
      </c>
      <c r="I155" s="29">
        <f t="shared" si="43"/>
        <v>0</v>
      </c>
      <c r="J155" s="30">
        <f t="shared" si="44"/>
        <v>0</v>
      </c>
      <c r="K155" s="93">
        <f t="shared" si="33"/>
        <v>11212.5</v>
      </c>
      <c r="L155" s="93">
        <f t="shared" si="34"/>
        <v>8222.5</v>
      </c>
      <c r="M155" s="93">
        <f t="shared" si="35"/>
        <v>7848.75</v>
      </c>
      <c r="N155" s="64">
        <v>7475</v>
      </c>
      <c r="O155" s="69"/>
      <c r="P155" s="132">
        <f t="shared" si="36"/>
        <v>7475</v>
      </c>
      <c r="Q155" s="218">
        <f t="shared" si="37"/>
        <v>12900</v>
      </c>
      <c r="R155" s="218">
        <f t="shared" si="39"/>
        <v>9460</v>
      </c>
      <c r="S155" s="218">
        <f t="shared" si="40"/>
        <v>9030</v>
      </c>
      <c r="T155" s="111">
        <v>8600</v>
      </c>
      <c r="U155" s="108"/>
      <c r="V155" s="79"/>
      <c r="W155" s="86"/>
      <c r="X155" s="244">
        <f t="shared" si="38"/>
        <v>8600</v>
      </c>
      <c r="Y155" s="272"/>
      <c r="Z155" s="111">
        <f t="shared" si="41"/>
        <v>7288.1355932203396</v>
      </c>
    </row>
    <row r="156" spans="1:26" ht="15.75" customHeight="1" x14ac:dyDescent="0.2">
      <c r="A156" s="710"/>
      <c r="B156" s="14" t="s">
        <v>266</v>
      </c>
      <c r="C156" s="7" t="s">
        <v>89</v>
      </c>
      <c r="D156" s="266" t="s">
        <v>285</v>
      </c>
      <c r="E156" s="5">
        <v>15</v>
      </c>
      <c r="F156" s="3">
        <v>0.13</v>
      </c>
      <c r="G156" s="3"/>
      <c r="H156" s="13">
        <v>0</v>
      </c>
      <c r="I156" s="29">
        <f t="shared" si="43"/>
        <v>0</v>
      </c>
      <c r="J156" s="30">
        <f t="shared" si="44"/>
        <v>0</v>
      </c>
      <c r="K156" s="93">
        <f t="shared" si="33"/>
        <v>7200</v>
      </c>
      <c r="L156" s="93">
        <f t="shared" si="34"/>
        <v>5280</v>
      </c>
      <c r="M156" s="93">
        <f t="shared" si="35"/>
        <v>5040</v>
      </c>
      <c r="N156" s="64">
        <v>4800</v>
      </c>
      <c r="O156" s="69">
        <v>3691.4</v>
      </c>
      <c r="P156" s="132">
        <f t="shared" si="36"/>
        <v>1108.5999999999999</v>
      </c>
      <c r="Q156" s="218">
        <f t="shared" si="37"/>
        <v>8002.5</v>
      </c>
      <c r="R156" s="218">
        <f t="shared" si="39"/>
        <v>5868.5000000000009</v>
      </c>
      <c r="S156" s="218">
        <f t="shared" si="40"/>
        <v>5601.75</v>
      </c>
      <c r="T156" s="111">
        <v>5335</v>
      </c>
      <c r="U156" s="108">
        <f t="shared" ref="U156:U165" si="45">O156*1.1</f>
        <v>4060.5400000000004</v>
      </c>
      <c r="V156" s="79">
        <f t="shared" si="42"/>
        <v>1274.4599999999996</v>
      </c>
      <c r="W156" s="86">
        <v>780</v>
      </c>
      <c r="X156" s="244">
        <f t="shared" si="38"/>
        <v>4130</v>
      </c>
      <c r="Y156" s="272">
        <v>1205</v>
      </c>
      <c r="Z156" s="111">
        <f t="shared" si="41"/>
        <v>4521.1864406779659</v>
      </c>
    </row>
    <row r="157" spans="1:26" ht="16.5" customHeight="1" x14ac:dyDescent="0.2">
      <c r="A157" s="710"/>
      <c r="B157" s="14" t="s">
        <v>271</v>
      </c>
      <c r="C157" s="7" t="s">
        <v>89</v>
      </c>
      <c r="D157" s="266" t="s">
        <v>285</v>
      </c>
      <c r="E157" s="5">
        <v>15</v>
      </c>
      <c r="F157" s="3">
        <v>0.13</v>
      </c>
      <c r="G157" s="3"/>
      <c r="H157" s="13">
        <v>0</v>
      </c>
      <c r="I157" s="29">
        <f t="shared" si="43"/>
        <v>0</v>
      </c>
      <c r="J157" s="30">
        <f t="shared" si="44"/>
        <v>0</v>
      </c>
      <c r="K157" s="93">
        <f t="shared" si="33"/>
        <v>8280</v>
      </c>
      <c r="L157" s="93">
        <f t="shared" si="34"/>
        <v>6072.0000000000009</v>
      </c>
      <c r="M157" s="93">
        <f t="shared" si="35"/>
        <v>5796</v>
      </c>
      <c r="N157" s="64">
        <v>5520</v>
      </c>
      <c r="O157" s="69">
        <v>4411.3999999999996</v>
      </c>
      <c r="P157" s="132">
        <f t="shared" si="36"/>
        <v>1108.6000000000004</v>
      </c>
      <c r="Q157" s="218">
        <f t="shared" si="37"/>
        <v>9604.5</v>
      </c>
      <c r="R157" s="218">
        <f t="shared" si="39"/>
        <v>7043.3</v>
      </c>
      <c r="S157" s="218">
        <f t="shared" si="40"/>
        <v>6723.1500000000005</v>
      </c>
      <c r="T157" s="111">
        <v>6403</v>
      </c>
      <c r="U157" s="108">
        <f t="shared" si="45"/>
        <v>4852.54</v>
      </c>
      <c r="V157" s="79">
        <f t="shared" si="42"/>
        <v>1550.46</v>
      </c>
      <c r="W157" s="86">
        <v>780</v>
      </c>
      <c r="X157" s="244">
        <f t="shared" si="38"/>
        <v>5198</v>
      </c>
      <c r="Y157" s="272">
        <v>1205</v>
      </c>
      <c r="Z157" s="111">
        <f t="shared" si="41"/>
        <v>5426.2711864406783</v>
      </c>
    </row>
    <row r="158" spans="1:26" ht="13.5" customHeight="1" x14ac:dyDescent="0.2">
      <c r="A158" s="710"/>
      <c r="B158" s="14" t="s">
        <v>267</v>
      </c>
      <c r="C158" s="7" t="s">
        <v>90</v>
      </c>
      <c r="D158" s="266" t="s">
        <v>286</v>
      </c>
      <c r="E158" s="5">
        <v>17.3</v>
      </c>
      <c r="F158" s="3">
        <v>0.17</v>
      </c>
      <c r="G158" s="3"/>
      <c r="H158" s="13">
        <v>0</v>
      </c>
      <c r="I158" s="29">
        <f t="shared" si="43"/>
        <v>0</v>
      </c>
      <c r="J158" s="30">
        <f t="shared" si="44"/>
        <v>0</v>
      </c>
      <c r="K158" s="93">
        <f t="shared" si="33"/>
        <v>7650</v>
      </c>
      <c r="L158" s="93">
        <f t="shared" si="34"/>
        <v>5610</v>
      </c>
      <c r="M158" s="93">
        <f t="shared" si="35"/>
        <v>5355</v>
      </c>
      <c r="N158" s="64">
        <v>5100</v>
      </c>
      <c r="O158" s="69">
        <v>3946.55</v>
      </c>
      <c r="P158" s="132">
        <f t="shared" si="36"/>
        <v>1153.4499999999998</v>
      </c>
      <c r="Q158" s="218">
        <f t="shared" si="37"/>
        <v>8505</v>
      </c>
      <c r="R158" s="218">
        <f t="shared" si="39"/>
        <v>6237.0000000000009</v>
      </c>
      <c r="S158" s="218">
        <f t="shared" si="40"/>
        <v>5953.5</v>
      </c>
      <c r="T158" s="111">
        <v>5670</v>
      </c>
      <c r="U158" s="108">
        <f t="shared" si="45"/>
        <v>4341.2050000000008</v>
      </c>
      <c r="V158" s="79">
        <f t="shared" si="42"/>
        <v>1328.7949999999992</v>
      </c>
      <c r="W158" s="86">
        <v>835</v>
      </c>
      <c r="X158" s="244">
        <f t="shared" si="38"/>
        <v>4380</v>
      </c>
      <c r="Y158" s="272">
        <v>1290</v>
      </c>
      <c r="Z158" s="111">
        <f t="shared" si="41"/>
        <v>4805.0847457627124</v>
      </c>
    </row>
    <row r="159" spans="1:26" ht="12.75" customHeight="1" x14ac:dyDescent="0.2">
      <c r="A159" s="710"/>
      <c r="B159" s="14" t="s">
        <v>272</v>
      </c>
      <c r="C159" s="7" t="s">
        <v>90</v>
      </c>
      <c r="D159" s="266" t="s">
        <v>286</v>
      </c>
      <c r="E159" s="5">
        <v>17.3</v>
      </c>
      <c r="F159" s="3">
        <v>0.17</v>
      </c>
      <c r="G159" s="3"/>
      <c r="H159" s="13">
        <v>0</v>
      </c>
      <c r="I159" s="29">
        <f t="shared" si="43"/>
        <v>0</v>
      </c>
      <c r="J159" s="30">
        <f t="shared" si="44"/>
        <v>0</v>
      </c>
      <c r="K159" s="93">
        <f t="shared" si="33"/>
        <v>8797.5</v>
      </c>
      <c r="L159" s="93">
        <f t="shared" si="34"/>
        <v>6451.5000000000009</v>
      </c>
      <c r="M159" s="93">
        <f t="shared" si="35"/>
        <v>6158.25</v>
      </c>
      <c r="N159" s="64">
        <v>5865</v>
      </c>
      <c r="O159" s="69">
        <v>4711.55</v>
      </c>
      <c r="P159" s="132">
        <f t="shared" si="36"/>
        <v>1153.4499999999998</v>
      </c>
      <c r="Q159" s="218">
        <f t="shared" si="37"/>
        <v>10207.5</v>
      </c>
      <c r="R159" s="218">
        <f t="shared" si="39"/>
        <v>7485.5000000000009</v>
      </c>
      <c r="S159" s="218">
        <f t="shared" si="40"/>
        <v>7145.25</v>
      </c>
      <c r="T159" s="111">
        <v>6805</v>
      </c>
      <c r="U159" s="108">
        <f t="shared" si="45"/>
        <v>5182.7050000000008</v>
      </c>
      <c r="V159" s="79">
        <f t="shared" si="42"/>
        <v>1622.2949999999992</v>
      </c>
      <c r="W159" s="86">
        <v>835</v>
      </c>
      <c r="X159" s="244">
        <f t="shared" si="38"/>
        <v>5515</v>
      </c>
      <c r="Y159" s="272">
        <v>1290</v>
      </c>
      <c r="Z159" s="111">
        <f t="shared" si="41"/>
        <v>5766.9491525423728</v>
      </c>
    </row>
    <row r="160" spans="1:26" ht="14.25" customHeight="1" x14ac:dyDescent="0.2">
      <c r="A160" s="710"/>
      <c r="B160" s="14" t="s">
        <v>268</v>
      </c>
      <c r="C160" s="7" t="s">
        <v>91</v>
      </c>
      <c r="D160" s="266" t="s">
        <v>287</v>
      </c>
      <c r="E160" s="5">
        <v>24.9</v>
      </c>
      <c r="F160" s="3">
        <v>0.21</v>
      </c>
      <c r="G160" s="3"/>
      <c r="H160" s="13">
        <v>0</v>
      </c>
      <c r="I160" s="29">
        <f t="shared" si="43"/>
        <v>0</v>
      </c>
      <c r="J160" s="30">
        <f t="shared" si="44"/>
        <v>0</v>
      </c>
      <c r="K160" s="93">
        <f t="shared" si="33"/>
        <v>10425</v>
      </c>
      <c r="L160" s="93">
        <f t="shared" si="34"/>
        <v>7645.0000000000009</v>
      </c>
      <c r="M160" s="93">
        <f t="shared" si="35"/>
        <v>7297.5</v>
      </c>
      <c r="N160" s="64">
        <v>6950</v>
      </c>
      <c r="O160" s="69">
        <v>4751.2</v>
      </c>
      <c r="P160" s="132">
        <f t="shared" si="36"/>
        <v>2198.8000000000002</v>
      </c>
      <c r="Q160" s="218">
        <f t="shared" si="37"/>
        <v>11629.5</v>
      </c>
      <c r="R160" s="218">
        <f t="shared" si="39"/>
        <v>8528.3000000000011</v>
      </c>
      <c r="S160" s="218">
        <f t="shared" si="40"/>
        <v>8140.6500000000005</v>
      </c>
      <c r="T160" s="111">
        <v>7753</v>
      </c>
      <c r="U160" s="108">
        <f t="shared" si="45"/>
        <v>5226.3200000000006</v>
      </c>
      <c r="V160" s="79">
        <f t="shared" si="42"/>
        <v>2526.6799999999994</v>
      </c>
      <c r="W160" s="86">
        <v>1545.8</v>
      </c>
      <c r="X160" s="244">
        <f t="shared" si="38"/>
        <v>5365</v>
      </c>
      <c r="Y160" s="272">
        <v>2388</v>
      </c>
      <c r="Z160" s="111">
        <f t="shared" si="41"/>
        <v>6570.3389830508477</v>
      </c>
    </row>
    <row r="161" spans="1:26" ht="16.5" customHeight="1" x14ac:dyDescent="0.2">
      <c r="A161" s="710"/>
      <c r="B161" s="14" t="s">
        <v>273</v>
      </c>
      <c r="C161" s="7" t="s">
        <v>91</v>
      </c>
      <c r="D161" s="266" t="s">
        <v>287</v>
      </c>
      <c r="E161" s="5">
        <v>24.9</v>
      </c>
      <c r="F161" s="3">
        <v>0.21</v>
      </c>
      <c r="G161" s="3"/>
      <c r="H161" s="13">
        <v>0</v>
      </c>
      <c r="I161" s="29">
        <f t="shared" si="43"/>
        <v>0</v>
      </c>
      <c r="J161" s="30">
        <f t="shared" si="44"/>
        <v>0</v>
      </c>
      <c r="K161" s="93">
        <f t="shared" si="33"/>
        <v>11992.5</v>
      </c>
      <c r="L161" s="93">
        <f t="shared" si="34"/>
        <v>8794.5</v>
      </c>
      <c r="M161" s="93">
        <f t="shared" si="35"/>
        <v>8394.75</v>
      </c>
      <c r="N161" s="64">
        <v>7995</v>
      </c>
      <c r="O161" s="69">
        <v>5796.2</v>
      </c>
      <c r="P161" s="132">
        <f t="shared" si="36"/>
        <v>2198.8000000000002</v>
      </c>
      <c r="Q161" s="218">
        <f t="shared" si="37"/>
        <v>13962</v>
      </c>
      <c r="R161" s="218">
        <f t="shared" si="39"/>
        <v>10238.800000000001</v>
      </c>
      <c r="S161" s="218">
        <f t="shared" si="40"/>
        <v>9773.4</v>
      </c>
      <c r="T161" s="111">
        <v>9308</v>
      </c>
      <c r="U161" s="108">
        <f t="shared" si="45"/>
        <v>6375.8200000000006</v>
      </c>
      <c r="V161" s="79">
        <f t="shared" si="42"/>
        <v>2932.1799999999994</v>
      </c>
      <c r="W161" s="86">
        <v>1545.8</v>
      </c>
      <c r="X161" s="244">
        <f t="shared" si="38"/>
        <v>6920</v>
      </c>
      <c r="Y161" s="272">
        <v>2388</v>
      </c>
      <c r="Z161" s="111">
        <f t="shared" si="41"/>
        <v>7888.1355932203396</v>
      </c>
    </row>
    <row r="162" spans="1:26" ht="14.25" customHeight="1" x14ac:dyDescent="0.2">
      <c r="A162" s="710"/>
      <c r="B162" s="14" t="s">
        <v>269</v>
      </c>
      <c r="C162" s="7" t="s">
        <v>87</v>
      </c>
      <c r="D162" s="266" t="s">
        <v>288</v>
      </c>
      <c r="E162" s="5">
        <v>29</v>
      </c>
      <c r="F162" s="3">
        <v>0.28000000000000003</v>
      </c>
      <c r="G162" s="3"/>
      <c r="H162" s="13">
        <v>0</v>
      </c>
      <c r="I162" s="29">
        <f t="shared" si="43"/>
        <v>0</v>
      </c>
      <c r="J162" s="30">
        <f t="shared" si="44"/>
        <v>0</v>
      </c>
      <c r="K162" s="93">
        <f t="shared" si="33"/>
        <v>12900</v>
      </c>
      <c r="L162" s="93">
        <f t="shared" si="34"/>
        <v>9460</v>
      </c>
      <c r="M162" s="93">
        <f t="shared" si="35"/>
        <v>9030</v>
      </c>
      <c r="N162" s="64">
        <v>8600</v>
      </c>
      <c r="O162" s="69">
        <v>6117.15</v>
      </c>
      <c r="P162" s="132">
        <f t="shared" si="36"/>
        <v>2482.8500000000004</v>
      </c>
      <c r="Q162" s="218">
        <f t="shared" si="37"/>
        <v>14373</v>
      </c>
      <c r="R162" s="218">
        <f t="shared" si="39"/>
        <v>10540.2</v>
      </c>
      <c r="S162" s="218">
        <f t="shared" si="40"/>
        <v>10061.1</v>
      </c>
      <c r="T162" s="111">
        <v>9582</v>
      </c>
      <c r="U162" s="108">
        <f t="shared" si="45"/>
        <v>6728.8649999999998</v>
      </c>
      <c r="V162" s="79">
        <f t="shared" si="42"/>
        <v>2853.1350000000002</v>
      </c>
      <c r="W162" s="86">
        <v>1745</v>
      </c>
      <c r="X162" s="244">
        <f t="shared" si="38"/>
        <v>6886</v>
      </c>
      <c r="Y162" s="272">
        <v>2696</v>
      </c>
      <c r="Z162" s="111">
        <f t="shared" si="41"/>
        <v>8120.3389830508477</v>
      </c>
    </row>
    <row r="163" spans="1:26" ht="14.25" customHeight="1" x14ac:dyDescent="0.2">
      <c r="A163" s="710"/>
      <c r="B163" s="14" t="s">
        <v>274</v>
      </c>
      <c r="C163" s="7" t="s">
        <v>87</v>
      </c>
      <c r="D163" s="266" t="s">
        <v>288</v>
      </c>
      <c r="E163" s="5">
        <v>29</v>
      </c>
      <c r="F163" s="3">
        <v>0.28000000000000003</v>
      </c>
      <c r="G163" s="3"/>
      <c r="H163" s="13">
        <v>0</v>
      </c>
      <c r="I163" s="29">
        <f t="shared" si="43"/>
        <v>0</v>
      </c>
      <c r="J163" s="30">
        <f t="shared" si="44"/>
        <v>0</v>
      </c>
      <c r="K163" s="93">
        <f t="shared" si="33"/>
        <v>14835</v>
      </c>
      <c r="L163" s="93">
        <f t="shared" si="34"/>
        <v>10879</v>
      </c>
      <c r="M163" s="93">
        <f t="shared" si="35"/>
        <v>10384.5</v>
      </c>
      <c r="N163" s="64">
        <v>9890</v>
      </c>
      <c r="O163" s="69">
        <v>7407.15</v>
      </c>
      <c r="P163" s="132">
        <f t="shared" si="36"/>
        <v>2482.8500000000004</v>
      </c>
      <c r="Q163" s="218">
        <f t="shared" si="37"/>
        <v>17238</v>
      </c>
      <c r="R163" s="218">
        <f t="shared" si="39"/>
        <v>12641.2</v>
      </c>
      <c r="S163" s="218">
        <f t="shared" si="40"/>
        <v>12066.6</v>
      </c>
      <c r="T163" s="111">
        <v>11492</v>
      </c>
      <c r="U163" s="108">
        <f t="shared" si="45"/>
        <v>8147.8650000000007</v>
      </c>
      <c r="V163" s="79">
        <f t="shared" si="42"/>
        <v>3344.1349999999993</v>
      </c>
      <c r="W163" s="86">
        <v>1745</v>
      </c>
      <c r="X163" s="244">
        <f t="shared" si="38"/>
        <v>8796</v>
      </c>
      <c r="Y163" s="272">
        <v>2696</v>
      </c>
      <c r="Z163" s="111">
        <f t="shared" si="41"/>
        <v>9738.9830508474588</v>
      </c>
    </row>
    <row r="164" spans="1:26" ht="15.75" customHeight="1" x14ac:dyDescent="0.2">
      <c r="A164" s="710"/>
      <c r="B164" s="14" t="s">
        <v>270</v>
      </c>
      <c r="C164" s="7" t="s">
        <v>88</v>
      </c>
      <c r="D164" s="266" t="s">
        <v>289</v>
      </c>
      <c r="E164" s="5">
        <v>34.799999999999997</v>
      </c>
      <c r="F164" s="3">
        <v>0.4</v>
      </c>
      <c r="G164" s="3"/>
      <c r="H164" s="13">
        <v>0</v>
      </c>
      <c r="I164" s="29">
        <f t="shared" si="43"/>
        <v>0</v>
      </c>
      <c r="J164" s="30">
        <f t="shared" si="44"/>
        <v>0</v>
      </c>
      <c r="K164" s="93">
        <f t="shared" si="33"/>
        <v>20700</v>
      </c>
      <c r="L164" s="93">
        <f t="shared" si="34"/>
        <v>15180.000000000002</v>
      </c>
      <c r="M164" s="93">
        <f t="shared" si="35"/>
        <v>14490</v>
      </c>
      <c r="N164" s="64">
        <v>13800</v>
      </c>
      <c r="O164" s="69">
        <v>6896.55</v>
      </c>
      <c r="P164" s="132">
        <f t="shared" si="36"/>
        <v>6903.45</v>
      </c>
      <c r="Q164" s="218">
        <f t="shared" si="37"/>
        <v>22770.000000000004</v>
      </c>
      <c r="R164" s="218">
        <f t="shared" si="39"/>
        <v>16698.000000000004</v>
      </c>
      <c r="S164" s="218">
        <f t="shared" si="40"/>
        <v>15939.000000000002</v>
      </c>
      <c r="T164" s="111">
        <f>N164*1.1</f>
        <v>15180.000000000002</v>
      </c>
      <c r="U164" s="108">
        <f t="shared" si="45"/>
        <v>7586.2050000000008</v>
      </c>
      <c r="V164" s="79">
        <f t="shared" si="42"/>
        <v>7593.795000000001</v>
      </c>
      <c r="W164" s="86">
        <v>6027</v>
      </c>
      <c r="X164" s="244">
        <f t="shared" si="38"/>
        <v>7857.0000000000018</v>
      </c>
      <c r="Y164" s="272">
        <v>7323</v>
      </c>
      <c r="Z164" s="111">
        <f t="shared" si="41"/>
        <v>12864.40677966102</v>
      </c>
    </row>
    <row r="165" spans="1:26" ht="15.75" customHeight="1" thickBot="1" x14ac:dyDescent="0.25">
      <c r="A165" s="718"/>
      <c r="B165" s="173" t="s">
        <v>275</v>
      </c>
      <c r="C165" s="174" t="s">
        <v>88</v>
      </c>
      <c r="D165" s="268" t="s">
        <v>289</v>
      </c>
      <c r="E165" s="136">
        <v>34.799999999999997</v>
      </c>
      <c r="F165" s="176">
        <v>0.4</v>
      </c>
      <c r="G165" s="176"/>
      <c r="H165" s="178">
        <v>0</v>
      </c>
      <c r="I165" s="179">
        <f t="shared" si="43"/>
        <v>0</v>
      </c>
      <c r="J165" s="180">
        <f t="shared" si="44"/>
        <v>0</v>
      </c>
      <c r="K165" s="139">
        <f t="shared" si="33"/>
        <v>23805</v>
      </c>
      <c r="L165" s="139">
        <f t="shared" si="34"/>
        <v>17457</v>
      </c>
      <c r="M165" s="139">
        <f t="shared" si="35"/>
        <v>16663.5</v>
      </c>
      <c r="N165" s="140">
        <v>15870</v>
      </c>
      <c r="O165" s="141">
        <v>8966.5499999999993</v>
      </c>
      <c r="P165" s="142">
        <f t="shared" si="36"/>
        <v>6903.4500000000007</v>
      </c>
      <c r="Q165" s="219">
        <f t="shared" si="37"/>
        <v>27375</v>
      </c>
      <c r="R165" s="219">
        <f t="shared" si="39"/>
        <v>20075</v>
      </c>
      <c r="S165" s="219">
        <f t="shared" si="40"/>
        <v>19162.5</v>
      </c>
      <c r="T165" s="144">
        <v>18250</v>
      </c>
      <c r="U165" s="108">
        <f t="shared" si="45"/>
        <v>9863.2049999999999</v>
      </c>
      <c r="V165" s="79">
        <f t="shared" si="42"/>
        <v>8386.7950000000001</v>
      </c>
      <c r="W165" s="86">
        <v>6027</v>
      </c>
      <c r="X165" s="244">
        <f t="shared" si="38"/>
        <v>10927</v>
      </c>
      <c r="Y165" s="272">
        <v>7323</v>
      </c>
      <c r="Z165" s="111">
        <f t="shared" si="41"/>
        <v>15466.101694915254</v>
      </c>
    </row>
    <row r="166" spans="1:26" ht="13.5" thickTop="1" x14ac:dyDescent="0.2">
      <c r="A166" s="717" t="s">
        <v>145</v>
      </c>
      <c r="B166" s="160" t="s">
        <v>513</v>
      </c>
      <c r="C166" s="161" t="s">
        <v>13</v>
      </c>
      <c r="D166" s="269"/>
      <c r="E166" s="162">
        <v>16</v>
      </c>
      <c r="F166" s="163">
        <v>0.09</v>
      </c>
      <c r="G166" s="163">
        <v>20</v>
      </c>
      <c r="H166" s="164">
        <v>0</v>
      </c>
      <c r="I166" s="165">
        <f t="shared" si="43"/>
        <v>0</v>
      </c>
      <c r="J166" s="166">
        <f t="shared" si="44"/>
        <v>0</v>
      </c>
      <c r="K166" s="167">
        <f t="shared" si="33"/>
        <v>4125</v>
      </c>
      <c r="L166" s="167">
        <f t="shared" si="34"/>
        <v>3025.0000000000005</v>
      </c>
      <c r="M166" s="167">
        <f t="shared" si="35"/>
        <v>2887.5</v>
      </c>
      <c r="N166" s="168">
        <v>2750</v>
      </c>
      <c r="O166" s="169"/>
      <c r="P166" s="170">
        <f t="shared" si="36"/>
        <v>2750</v>
      </c>
      <c r="Q166" s="221">
        <f t="shared" si="37"/>
        <v>4537.5000000000009</v>
      </c>
      <c r="R166" s="221">
        <f t="shared" si="39"/>
        <v>3327.5000000000009</v>
      </c>
      <c r="S166" s="221">
        <f t="shared" si="40"/>
        <v>3176.2500000000005</v>
      </c>
      <c r="T166" s="172">
        <f>N166*1.1</f>
        <v>3025.0000000000005</v>
      </c>
      <c r="U166" s="108"/>
      <c r="V166" s="79"/>
      <c r="W166" s="86"/>
      <c r="X166" s="244">
        <f t="shared" si="38"/>
        <v>3025.0000000000005</v>
      </c>
      <c r="Y166" s="272"/>
      <c r="Z166" s="111">
        <f t="shared" si="41"/>
        <v>2563.5593220338988</v>
      </c>
    </row>
    <row r="167" spans="1:26" ht="12.75" x14ac:dyDescent="0.2">
      <c r="A167" s="710"/>
      <c r="B167" s="14" t="s">
        <v>514</v>
      </c>
      <c r="C167" s="7" t="s">
        <v>75</v>
      </c>
      <c r="D167" s="284"/>
      <c r="E167" s="5">
        <v>33</v>
      </c>
      <c r="F167" s="3">
        <v>0.23</v>
      </c>
      <c r="G167" s="3">
        <v>6</v>
      </c>
      <c r="H167" s="13">
        <v>0</v>
      </c>
      <c r="I167" s="29">
        <f t="shared" si="43"/>
        <v>0</v>
      </c>
      <c r="J167" s="30">
        <f t="shared" si="44"/>
        <v>0</v>
      </c>
      <c r="K167" s="93">
        <f t="shared" si="33"/>
        <v>7800</v>
      </c>
      <c r="L167" s="93">
        <f t="shared" si="34"/>
        <v>5720.0000000000009</v>
      </c>
      <c r="M167" s="93">
        <f t="shared" si="35"/>
        <v>5460</v>
      </c>
      <c r="N167" s="64">
        <v>5200</v>
      </c>
      <c r="O167" s="69"/>
      <c r="P167" s="132">
        <f t="shared" si="36"/>
        <v>5200</v>
      </c>
      <c r="Q167" s="218">
        <f t="shared" si="37"/>
        <v>8580.0000000000018</v>
      </c>
      <c r="R167" s="218">
        <f t="shared" si="39"/>
        <v>6292.0000000000018</v>
      </c>
      <c r="S167" s="218">
        <f t="shared" si="40"/>
        <v>6006.0000000000009</v>
      </c>
      <c r="T167" s="111">
        <f>N167*1.1</f>
        <v>5720.0000000000009</v>
      </c>
      <c r="U167" s="108"/>
      <c r="V167" s="79"/>
      <c r="W167" s="86"/>
      <c r="X167" s="244">
        <f t="shared" si="38"/>
        <v>5720.0000000000009</v>
      </c>
      <c r="Y167" s="272"/>
      <c r="Z167" s="111">
        <f t="shared" si="41"/>
        <v>4847.4576271186452</v>
      </c>
    </row>
    <row r="168" spans="1:26" ht="15" customHeight="1" thickBot="1" x14ac:dyDescent="0.25">
      <c r="A168" s="718"/>
      <c r="B168" s="173" t="s">
        <v>515</v>
      </c>
      <c r="C168" s="174" t="s">
        <v>92</v>
      </c>
      <c r="D168" s="268" t="s">
        <v>291</v>
      </c>
      <c r="E168" s="136">
        <v>16.5</v>
      </c>
      <c r="F168" s="176">
        <v>0.17</v>
      </c>
      <c r="G168" s="176"/>
      <c r="H168" s="178">
        <v>0</v>
      </c>
      <c r="I168" s="179">
        <f t="shared" si="43"/>
        <v>0</v>
      </c>
      <c r="J168" s="180">
        <f t="shared" si="44"/>
        <v>0</v>
      </c>
      <c r="K168" s="139">
        <f t="shared" si="33"/>
        <v>6000</v>
      </c>
      <c r="L168" s="139">
        <f t="shared" si="34"/>
        <v>4400</v>
      </c>
      <c r="M168" s="139">
        <f t="shared" si="35"/>
        <v>4200</v>
      </c>
      <c r="N168" s="140">
        <v>4000</v>
      </c>
      <c r="O168" s="141">
        <v>2893.7</v>
      </c>
      <c r="P168" s="142">
        <f t="shared" si="36"/>
        <v>1106.3000000000002</v>
      </c>
      <c r="Q168" s="219">
        <f t="shared" si="37"/>
        <v>6682.5</v>
      </c>
      <c r="R168" s="219">
        <f t="shared" si="39"/>
        <v>4900.5</v>
      </c>
      <c r="S168" s="219">
        <f t="shared" si="40"/>
        <v>4677.75</v>
      </c>
      <c r="T168" s="144">
        <v>4455</v>
      </c>
      <c r="U168" s="108">
        <f>O168*1.1</f>
        <v>3183.07</v>
      </c>
      <c r="V168" s="79">
        <f t="shared" si="42"/>
        <v>1271.9299999999998</v>
      </c>
      <c r="W168" s="86">
        <v>777.2</v>
      </c>
      <c r="X168" s="244">
        <f t="shared" si="38"/>
        <v>3254</v>
      </c>
      <c r="Y168" s="272">
        <v>1201</v>
      </c>
      <c r="Z168" s="111">
        <f t="shared" si="41"/>
        <v>3775.4237288135596</v>
      </c>
    </row>
    <row r="169" spans="1:26" ht="13.5" thickTop="1" x14ac:dyDescent="0.2">
      <c r="A169" s="717" t="s">
        <v>160</v>
      </c>
      <c r="B169" s="160" t="s">
        <v>516</v>
      </c>
      <c r="C169" s="181" t="s">
        <v>74</v>
      </c>
      <c r="D169" s="283"/>
      <c r="E169" s="162">
        <v>13</v>
      </c>
      <c r="F169" s="163">
        <v>0.1</v>
      </c>
      <c r="G169" s="163">
        <v>10</v>
      </c>
      <c r="H169" s="164">
        <v>0</v>
      </c>
      <c r="I169" s="165">
        <f t="shared" si="43"/>
        <v>0</v>
      </c>
      <c r="J169" s="166">
        <f t="shared" si="44"/>
        <v>0</v>
      </c>
      <c r="K169" s="167">
        <f t="shared" si="33"/>
        <v>2370</v>
      </c>
      <c r="L169" s="167">
        <f t="shared" si="34"/>
        <v>1738.0000000000002</v>
      </c>
      <c r="M169" s="167">
        <f t="shared" si="35"/>
        <v>1659</v>
      </c>
      <c r="N169" s="168">
        <v>1580</v>
      </c>
      <c r="O169" s="169"/>
      <c r="P169" s="170">
        <f t="shared" si="36"/>
        <v>1580</v>
      </c>
      <c r="Q169" s="221">
        <f t="shared" si="37"/>
        <v>2730</v>
      </c>
      <c r="R169" s="221">
        <f t="shared" si="39"/>
        <v>2002.0000000000002</v>
      </c>
      <c r="S169" s="221">
        <f t="shared" si="40"/>
        <v>1911</v>
      </c>
      <c r="T169" s="172">
        <v>1820</v>
      </c>
      <c r="U169" s="108"/>
      <c r="V169" s="79"/>
      <c r="W169" s="86"/>
      <c r="X169" s="244">
        <f t="shared" si="38"/>
        <v>1820</v>
      </c>
      <c r="Y169" s="272"/>
      <c r="Z169" s="111">
        <f t="shared" si="41"/>
        <v>1542.3728813559323</v>
      </c>
    </row>
    <row r="170" spans="1:26" ht="15" customHeight="1" thickBot="1" x14ac:dyDescent="0.25">
      <c r="A170" s="718"/>
      <c r="B170" s="173" t="s">
        <v>517</v>
      </c>
      <c r="C170" s="174" t="s">
        <v>104</v>
      </c>
      <c r="D170" s="268" t="s">
        <v>285</v>
      </c>
      <c r="E170" s="136">
        <v>14</v>
      </c>
      <c r="F170" s="176">
        <v>0.12</v>
      </c>
      <c r="G170" s="176"/>
      <c r="H170" s="178">
        <v>0</v>
      </c>
      <c r="I170" s="179">
        <f t="shared" si="43"/>
        <v>0</v>
      </c>
      <c r="J170" s="180">
        <f t="shared" si="44"/>
        <v>0</v>
      </c>
      <c r="K170" s="139">
        <f t="shared" si="33"/>
        <v>4200</v>
      </c>
      <c r="L170" s="139">
        <f t="shared" si="34"/>
        <v>3080.0000000000005</v>
      </c>
      <c r="M170" s="139">
        <f t="shared" si="35"/>
        <v>2940</v>
      </c>
      <c r="N170" s="140">
        <v>2800</v>
      </c>
      <c r="O170" s="141">
        <v>1691.4</v>
      </c>
      <c r="P170" s="142">
        <f t="shared" si="36"/>
        <v>1108.5999999999999</v>
      </c>
      <c r="Q170" s="219">
        <f t="shared" si="37"/>
        <v>4702.5</v>
      </c>
      <c r="R170" s="219">
        <f t="shared" si="39"/>
        <v>3448.5000000000005</v>
      </c>
      <c r="S170" s="219">
        <f t="shared" si="40"/>
        <v>3291.75</v>
      </c>
      <c r="T170" s="144">
        <v>3135</v>
      </c>
      <c r="U170" s="108">
        <f t="shared" ref="U170:U192" si="46">O170*1.1</f>
        <v>1860.5400000000002</v>
      </c>
      <c r="V170" s="79">
        <f t="shared" si="42"/>
        <v>1274.4599999999998</v>
      </c>
      <c r="W170" s="86">
        <v>780</v>
      </c>
      <c r="X170" s="244">
        <f t="shared" si="38"/>
        <v>1930</v>
      </c>
      <c r="Y170" s="272">
        <v>1205</v>
      </c>
      <c r="Z170" s="111">
        <f t="shared" si="41"/>
        <v>2656.7796610169494</v>
      </c>
    </row>
    <row r="171" spans="1:26" ht="16.5" thickTop="1" x14ac:dyDescent="0.25">
      <c r="A171" s="121"/>
      <c r="B171" s="217" t="s">
        <v>163</v>
      </c>
      <c r="C171" s="17"/>
      <c r="D171" s="258"/>
      <c r="E171" s="122"/>
      <c r="F171" s="123"/>
      <c r="G171" s="123"/>
      <c r="H171" s="124">
        <v>0</v>
      </c>
      <c r="I171" s="125"/>
      <c r="J171" s="126"/>
      <c r="K171" s="127">
        <f t="shared" si="33"/>
        <v>0</v>
      </c>
      <c r="L171" s="127">
        <f t="shared" si="34"/>
        <v>0</v>
      </c>
      <c r="M171" s="127">
        <f t="shared" si="35"/>
        <v>0</v>
      </c>
      <c r="N171" s="67"/>
      <c r="O171" s="128"/>
      <c r="P171" s="62">
        <f t="shared" si="36"/>
        <v>0</v>
      </c>
      <c r="Q171" s="222"/>
      <c r="R171" s="222"/>
      <c r="S171" s="222"/>
      <c r="T171" s="129"/>
      <c r="U171" s="108">
        <f t="shared" si="46"/>
        <v>0</v>
      </c>
      <c r="V171" s="79">
        <f t="shared" si="42"/>
        <v>0</v>
      </c>
      <c r="W171" s="86"/>
      <c r="X171" s="244"/>
      <c r="Y171" s="272"/>
      <c r="Z171" s="129"/>
    </row>
    <row r="172" spans="1:26" s="1" customFormat="1" ht="26.25" customHeight="1" x14ac:dyDescent="0.2">
      <c r="A172" s="711" t="s">
        <v>163</v>
      </c>
      <c r="B172" s="2" t="s">
        <v>47</v>
      </c>
      <c r="C172" s="9" t="s">
        <v>116</v>
      </c>
      <c r="D172" s="286"/>
      <c r="E172" s="5">
        <v>15</v>
      </c>
      <c r="F172" s="3">
        <v>0.06</v>
      </c>
      <c r="G172" s="3"/>
      <c r="H172" s="13">
        <v>0</v>
      </c>
      <c r="I172" s="29">
        <f t="shared" ref="I172:I187" si="47">H172*E172</f>
        <v>0</v>
      </c>
      <c r="J172" s="30">
        <f t="shared" ref="J172:J187" si="48">F172*H172</f>
        <v>0</v>
      </c>
      <c r="K172" s="93">
        <f t="shared" si="33"/>
        <v>0</v>
      </c>
      <c r="L172" s="93">
        <f t="shared" si="34"/>
        <v>0</v>
      </c>
      <c r="M172" s="93">
        <f t="shared" si="35"/>
        <v>0</v>
      </c>
      <c r="N172" s="64"/>
      <c r="O172" s="69"/>
      <c r="P172" s="61">
        <f t="shared" si="36"/>
        <v>0</v>
      </c>
      <c r="Q172" s="218"/>
      <c r="R172" s="218"/>
      <c r="S172" s="218"/>
      <c r="T172" s="111"/>
      <c r="U172" s="83">
        <f t="shared" si="46"/>
        <v>0</v>
      </c>
      <c r="V172" s="80">
        <f t="shared" si="42"/>
        <v>0</v>
      </c>
      <c r="W172" s="86"/>
      <c r="X172" s="246"/>
      <c r="Y172" s="273"/>
      <c r="Z172" s="111"/>
    </row>
    <row r="173" spans="1:26" ht="26.25" customHeight="1" x14ac:dyDescent="0.2">
      <c r="A173" s="711"/>
      <c r="B173" s="4" t="s">
        <v>48</v>
      </c>
      <c r="C173" s="9" t="s">
        <v>117</v>
      </c>
      <c r="D173" s="286"/>
      <c r="E173" s="5">
        <v>14.6</v>
      </c>
      <c r="F173" s="3">
        <v>6.2E-2</v>
      </c>
      <c r="G173" s="3"/>
      <c r="H173" s="13">
        <v>0</v>
      </c>
      <c r="I173" s="29">
        <f t="shared" si="47"/>
        <v>0</v>
      </c>
      <c r="J173" s="30">
        <f t="shared" si="48"/>
        <v>0</v>
      </c>
      <c r="K173" s="93">
        <f t="shared" si="33"/>
        <v>0</v>
      </c>
      <c r="L173" s="93">
        <f t="shared" si="34"/>
        <v>0</v>
      </c>
      <c r="M173" s="93">
        <f t="shared" si="35"/>
        <v>0</v>
      </c>
      <c r="N173" s="64"/>
      <c r="O173" s="69"/>
      <c r="P173" s="62">
        <f t="shared" si="36"/>
        <v>0</v>
      </c>
      <c r="Q173" s="218"/>
      <c r="R173" s="218"/>
      <c r="S173" s="218"/>
      <c r="T173" s="111"/>
      <c r="U173" s="108">
        <f t="shared" si="46"/>
        <v>0</v>
      </c>
      <c r="V173" s="79">
        <f t="shared" si="42"/>
        <v>0</v>
      </c>
      <c r="W173" s="86"/>
      <c r="X173" s="244"/>
      <c r="Y173" s="272"/>
      <c r="Z173" s="111"/>
    </row>
    <row r="174" spans="1:26" ht="26.25" customHeight="1" x14ac:dyDescent="0.2">
      <c r="A174" s="711"/>
      <c r="B174" s="4" t="s">
        <v>49</v>
      </c>
      <c r="C174" s="9" t="s">
        <v>118</v>
      </c>
      <c r="D174" s="286"/>
      <c r="E174" s="5">
        <v>15.2</v>
      </c>
      <c r="F174" s="3">
        <v>0.06</v>
      </c>
      <c r="G174" s="3"/>
      <c r="H174" s="13">
        <v>0</v>
      </c>
      <c r="I174" s="29">
        <f t="shared" si="47"/>
        <v>0</v>
      </c>
      <c r="J174" s="30">
        <f t="shared" si="48"/>
        <v>0</v>
      </c>
      <c r="K174" s="93">
        <f t="shared" si="33"/>
        <v>0</v>
      </c>
      <c r="L174" s="93">
        <f t="shared" si="34"/>
        <v>0</v>
      </c>
      <c r="M174" s="93">
        <f t="shared" si="35"/>
        <v>0</v>
      </c>
      <c r="N174" s="64"/>
      <c r="O174" s="69"/>
      <c r="P174" s="62">
        <f t="shared" si="36"/>
        <v>0</v>
      </c>
      <c r="Q174" s="218"/>
      <c r="R174" s="218"/>
      <c r="S174" s="218"/>
      <c r="T174" s="111"/>
      <c r="U174" s="108">
        <f t="shared" si="46"/>
        <v>0</v>
      </c>
      <c r="V174" s="79">
        <f t="shared" si="42"/>
        <v>0</v>
      </c>
      <c r="W174" s="86"/>
      <c r="X174" s="244"/>
      <c r="Y174" s="272"/>
      <c r="Z174" s="111"/>
    </row>
    <row r="175" spans="1:26" ht="26.25" customHeight="1" x14ac:dyDescent="0.2">
      <c r="A175" s="711"/>
      <c r="B175" s="4" t="s">
        <v>50</v>
      </c>
      <c r="C175" s="9" t="s">
        <v>119</v>
      </c>
      <c r="D175" s="286"/>
      <c r="E175" s="5">
        <v>18</v>
      </c>
      <c r="F175" s="3">
        <v>7.5999999999999998E-2</v>
      </c>
      <c r="G175" s="3"/>
      <c r="H175" s="13">
        <v>0</v>
      </c>
      <c r="I175" s="29">
        <f t="shared" si="47"/>
        <v>0</v>
      </c>
      <c r="J175" s="30">
        <f t="shared" si="48"/>
        <v>0</v>
      </c>
      <c r="K175" s="93">
        <f t="shared" si="33"/>
        <v>0</v>
      </c>
      <c r="L175" s="93">
        <f t="shared" si="34"/>
        <v>0</v>
      </c>
      <c r="M175" s="93">
        <f t="shared" si="35"/>
        <v>0</v>
      </c>
      <c r="N175" s="64"/>
      <c r="O175" s="69"/>
      <c r="P175" s="62">
        <f t="shared" si="36"/>
        <v>0</v>
      </c>
      <c r="Q175" s="218"/>
      <c r="R175" s="218"/>
      <c r="S175" s="218"/>
      <c r="T175" s="111"/>
      <c r="U175" s="108">
        <f t="shared" si="46"/>
        <v>0</v>
      </c>
      <c r="V175" s="79">
        <f t="shared" si="42"/>
        <v>0</v>
      </c>
      <c r="W175" s="86"/>
      <c r="X175" s="244"/>
      <c r="Y175" s="272"/>
      <c r="Z175" s="111"/>
    </row>
    <row r="176" spans="1:26" ht="24" customHeight="1" x14ac:dyDescent="0.2">
      <c r="A176" s="711"/>
      <c r="B176" s="4" t="s">
        <v>528</v>
      </c>
      <c r="C176" s="9" t="s">
        <v>121</v>
      </c>
      <c r="D176" s="286"/>
      <c r="E176" s="5">
        <v>22</v>
      </c>
      <c r="F176" s="3">
        <v>0.1</v>
      </c>
      <c r="G176" s="3"/>
      <c r="H176" s="13">
        <v>0</v>
      </c>
      <c r="I176" s="29">
        <f t="shared" si="47"/>
        <v>0</v>
      </c>
      <c r="J176" s="30">
        <f t="shared" si="48"/>
        <v>0</v>
      </c>
      <c r="K176" s="93">
        <f t="shared" si="33"/>
        <v>0</v>
      </c>
      <c r="L176" s="93">
        <f t="shared" si="34"/>
        <v>0</v>
      </c>
      <c r="M176" s="93">
        <f t="shared" si="35"/>
        <v>0</v>
      </c>
      <c r="N176" s="64"/>
      <c r="O176" s="69"/>
      <c r="P176" s="62">
        <f t="shared" si="36"/>
        <v>0</v>
      </c>
      <c r="Q176" s="218"/>
      <c r="R176" s="218"/>
      <c r="S176" s="218"/>
      <c r="T176" s="111"/>
      <c r="U176" s="108">
        <f t="shared" si="46"/>
        <v>0</v>
      </c>
      <c r="V176" s="79">
        <f t="shared" si="42"/>
        <v>0</v>
      </c>
      <c r="W176" s="86"/>
      <c r="X176" s="244"/>
      <c r="Y176" s="272"/>
      <c r="Z176" s="111"/>
    </row>
    <row r="177" spans="1:26" ht="27" customHeight="1" x14ac:dyDescent="0.2">
      <c r="A177" s="711"/>
      <c r="B177" s="4" t="s">
        <v>461</v>
      </c>
      <c r="C177" s="9" t="s">
        <v>462</v>
      </c>
      <c r="D177" s="286"/>
      <c r="E177" s="36"/>
      <c r="F177" s="34"/>
      <c r="G177" s="34"/>
      <c r="H177" s="37"/>
      <c r="I177" s="38"/>
      <c r="J177" s="81"/>
      <c r="K177" s="94">
        <f>N177*1.5</f>
        <v>0</v>
      </c>
      <c r="L177" s="94">
        <f>N177*1.1</f>
        <v>0</v>
      </c>
      <c r="M177" s="94">
        <f>N177*1.05</f>
        <v>0</v>
      </c>
      <c r="N177" s="82"/>
      <c r="O177" s="83"/>
      <c r="P177" s="84">
        <f>N177-O177</f>
        <v>0</v>
      </c>
      <c r="Q177" s="223"/>
      <c r="R177" s="223"/>
      <c r="S177" s="224"/>
      <c r="T177" s="118"/>
      <c r="U177" s="119">
        <f>O177*1.1</f>
        <v>0</v>
      </c>
      <c r="V177" s="89">
        <f>T177-U177</f>
        <v>0</v>
      </c>
      <c r="W177" s="90"/>
      <c r="X177" s="244"/>
      <c r="Y177" s="272"/>
      <c r="Z177" s="118"/>
    </row>
    <row r="178" spans="1:26" ht="23.25" customHeight="1" x14ac:dyDescent="0.2">
      <c r="A178" s="711"/>
      <c r="B178" s="4" t="s">
        <v>52</v>
      </c>
      <c r="C178" s="9" t="s">
        <v>120</v>
      </c>
      <c r="D178" s="286"/>
      <c r="E178" s="5">
        <v>28.5</v>
      </c>
      <c r="F178" s="3">
        <v>0.125</v>
      </c>
      <c r="G178" s="3"/>
      <c r="H178" s="13">
        <v>0</v>
      </c>
      <c r="I178" s="29">
        <f t="shared" si="47"/>
        <v>0</v>
      </c>
      <c r="J178" s="30">
        <f t="shared" si="48"/>
        <v>0</v>
      </c>
      <c r="K178" s="93">
        <f t="shared" si="33"/>
        <v>0</v>
      </c>
      <c r="L178" s="93">
        <f t="shared" si="34"/>
        <v>0</v>
      </c>
      <c r="M178" s="93">
        <f t="shared" si="35"/>
        <v>0</v>
      </c>
      <c r="N178" s="64"/>
      <c r="O178" s="69"/>
      <c r="P178" s="62">
        <f t="shared" si="36"/>
        <v>0</v>
      </c>
      <c r="Q178" s="218"/>
      <c r="R178" s="218"/>
      <c r="S178" s="218"/>
      <c r="T178" s="111"/>
      <c r="U178" s="108">
        <f t="shared" si="46"/>
        <v>0</v>
      </c>
      <c r="V178" s="79">
        <f t="shared" si="42"/>
        <v>0</v>
      </c>
      <c r="W178" s="86"/>
      <c r="X178" s="244"/>
      <c r="Y178" s="272"/>
      <c r="Z178" s="111"/>
    </row>
    <row r="179" spans="1:26" ht="30" customHeight="1" x14ac:dyDescent="0.2">
      <c r="A179" s="711"/>
      <c r="B179" s="4" t="s">
        <v>527</v>
      </c>
      <c r="C179" s="9"/>
      <c r="D179" s="286"/>
      <c r="E179" s="5">
        <v>14.4</v>
      </c>
      <c r="F179" s="3">
        <v>5.8000000000000003E-2</v>
      </c>
      <c r="G179" s="3"/>
      <c r="H179" s="13">
        <v>0</v>
      </c>
      <c r="I179" s="29">
        <f t="shared" si="47"/>
        <v>0</v>
      </c>
      <c r="J179" s="30">
        <f t="shared" si="48"/>
        <v>0</v>
      </c>
      <c r="K179" s="93">
        <f t="shared" si="33"/>
        <v>0</v>
      </c>
      <c r="L179" s="93">
        <f t="shared" si="34"/>
        <v>0</v>
      </c>
      <c r="M179" s="93">
        <f t="shared" si="35"/>
        <v>0</v>
      </c>
      <c r="N179" s="64"/>
      <c r="O179" s="69"/>
      <c r="P179" s="62">
        <f t="shared" si="36"/>
        <v>0</v>
      </c>
      <c r="Q179" s="218"/>
      <c r="R179" s="218"/>
      <c r="S179" s="218"/>
      <c r="T179" s="111"/>
      <c r="U179" s="108">
        <f t="shared" si="46"/>
        <v>0</v>
      </c>
      <c r="V179" s="79">
        <f t="shared" si="42"/>
        <v>0</v>
      </c>
      <c r="W179" s="86"/>
      <c r="X179" s="244"/>
      <c r="Y179" s="272"/>
      <c r="Z179" s="111"/>
    </row>
    <row r="180" spans="1:26" ht="15.75" customHeight="1" x14ac:dyDescent="0.2">
      <c r="A180" s="711"/>
      <c r="B180" s="4" t="s">
        <v>54</v>
      </c>
      <c r="C180" s="9" t="s">
        <v>122</v>
      </c>
      <c r="D180" s="286"/>
      <c r="E180" s="5">
        <v>11.7</v>
      </c>
      <c r="F180" s="3">
        <v>5.3999999999999999E-2</v>
      </c>
      <c r="G180" s="3"/>
      <c r="H180" s="13">
        <v>0</v>
      </c>
      <c r="I180" s="29">
        <f t="shared" si="47"/>
        <v>0</v>
      </c>
      <c r="J180" s="30">
        <f t="shared" si="48"/>
        <v>0</v>
      </c>
      <c r="K180" s="93">
        <f t="shared" si="33"/>
        <v>0</v>
      </c>
      <c r="L180" s="93">
        <f t="shared" si="34"/>
        <v>0</v>
      </c>
      <c r="M180" s="93">
        <f t="shared" si="35"/>
        <v>0</v>
      </c>
      <c r="N180" s="64"/>
      <c r="O180" s="69"/>
      <c r="P180" s="62">
        <f t="shared" si="36"/>
        <v>0</v>
      </c>
      <c r="Q180" s="218"/>
      <c r="R180" s="218"/>
      <c r="S180" s="218"/>
      <c r="T180" s="111"/>
      <c r="U180" s="108">
        <f t="shared" si="46"/>
        <v>0</v>
      </c>
      <c r="V180" s="79">
        <f t="shared" si="42"/>
        <v>0</v>
      </c>
      <c r="W180" s="86"/>
      <c r="X180" s="244"/>
      <c r="Y180" s="272"/>
      <c r="Z180" s="111"/>
    </row>
    <row r="181" spans="1:26" ht="15.75" customHeight="1" x14ac:dyDescent="0.2">
      <c r="A181" s="711"/>
      <c r="B181" s="4" t="s">
        <v>55</v>
      </c>
      <c r="C181" s="9" t="s">
        <v>123</v>
      </c>
      <c r="D181" s="286"/>
      <c r="E181" s="5">
        <v>15.7</v>
      </c>
      <c r="F181" s="3">
        <v>7.3999999999999996E-2</v>
      </c>
      <c r="G181" s="3"/>
      <c r="H181" s="13">
        <v>0</v>
      </c>
      <c r="I181" s="29">
        <f t="shared" si="47"/>
        <v>0</v>
      </c>
      <c r="J181" s="30">
        <f t="shared" si="48"/>
        <v>0</v>
      </c>
      <c r="K181" s="93">
        <f t="shared" si="33"/>
        <v>0</v>
      </c>
      <c r="L181" s="93">
        <f t="shared" si="34"/>
        <v>0</v>
      </c>
      <c r="M181" s="93">
        <f t="shared" si="35"/>
        <v>0</v>
      </c>
      <c r="N181" s="64"/>
      <c r="O181" s="69"/>
      <c r="P181" s="62">
        <f t="shared" si="36"/>
        <v>0</v>
      </c>
      <c r="Q181" s="218"/>
      <c r="R181" s="218"/>
      <c r="S181" s="218"/>
      <c r="T181" s="111"/>
      <c r="U181" s="108">
        <f t="shared" si="46"/>
        <v>0</v>
      </c>
      <c r="V181" s="79">
        <f t="shared" si="42"/>
        <v>0</v>
      </c>
      <c r="W181" s="86"/>
      <c r="X181" s="244"/>
      <c r="Y181" s="272"/>
      <c r="Z181" s="111"/>
    </row>
    <row r="182" spans="1:26" ht="15.75" customHeight="1" x14ac:dyDescent="0.2">
      <c r="A182" s="711"/>
      <c r="B182" s="4" t="s">
        <v>56</v>
      </c>
      <c r="C182" s="9" t="s">
        <v>124</v>
      </c>
      <c r="D182" s="286"/>
      <c r="E182" s="5">
        <v>28</v>
      </c>
      <c r="F182" s="3">
        <v>0.12</v>
      </c>
      <c r="G182" s="3"/>
      <c r="H182" s="13">
        <v>0</v>
      </c>
      <c r="I182" s="29">
        <f t="shared" si="47"/>
        <v>0</v>
      </c>
      <c r="J182" s="30">
        <f t="shared" si="48"/>
        <v>0</v>
      </c>
      <c r="K182" s="93">
        <f t="shared" si="33"/>
        <v>0</v>
      </c>
      <c r="L182" s="93">
        <f t="shared" si="34"/>
        <v>0</v>
      </c>
      <c r="M182" s="93">
        <f t="shared" si="35"/>
        <v>0</v>
      </c>
      <c r="N182" s="64"/>
      <c r="O182" s="69"/>
      <c r="P182" s="62">
        <f t="shared" si="36"/>
        <v>0</v>
      </c>
      <c r="Q182" s="218"/>
      <c r="R182" s="218"/>
      <c r="S182" s="218"/>
      <c r="T182" s="111"/>
      <c r="U182" s="108">
        <f t="shared" si="46"/>
        <v>0</v>
      </c>
      <c r="V182" s="79">
        <f t="shared" si="42"/>
        <v>0</v>
      </c>
      <c r="W182" s="86"/>
      <c r="X182" s="244"/>
      <c r="Y182" s="272"/>
      <c r="Z182" s="111"/>
    </row>
    <row r="183" spans="1:26" ht="26.25" customHeight="1" x14ac:dyDescent="0.2">
      <c r="A183" s="711"/>
      <c r="B183" s="4" t="s">
        <v>57</v>
      </c>
      <c r="C183" s="9" t="s">
        <v>129</v>
      </c>
      <c r="D183" s="286"/>
      <c r="E183" s="5">
        <v>8</v>
      </c>
      <c r="F183" s="3">
        <v>0.05</v>
      </c>
      <c r="G183" s="3"/>
      <c r="H183" s="13">
        <v>0</v>
      </c>
      <c r="I183" s="29">
        <f t="shared" si="47"/>
        <v>0</v>
      </c>
      <c r="J183" s="30">
        <f t="shared" si="48"/>
        <v>0</v>
      </c>
      <c r="K183" s="93">
        <f t="shared" si="33"/>
        <v>0</v>
      </c>
      <c r="L183" s="93">
        <f t="shared" si="34"/>
        <v>0</v>
      </c>
      <c r="M183" s="93">
        <f t="shared" si="35"/>
        <v>0</v>
      </c>
      <c r="N183" s="64"/>
      <c r="O183" s="69"/>
      <c r="P183" s="62">
        <f t="shared" si="36"/>
        <v>0</v>
      </c>
      <c r="Q183" s="218"/>
      <c r="R183" s="218"/>
      <c r="S183" s="218"/>
      <c r="T183" s="111"/>
      <c r="U183" s="108">
        <f t="shared" si="46"/>
        <v>0</v>
      </c>
      <c r="V183" s="79">
        <f t="shared" si="42"/>
        <v>0</v>
      </c>
      <c r="W183" s="86"/>
      <c r="X183" s="244"/>
      <c r="Y183" s="272"/>
      <c r="Z183" s="111"/>
    </row>
    <row r="184" spans="1:26" ht="26.25" customHeight="1" x14ac:dyDescent="0.2">
      <c r="A184" s="711"/>
      <c r="B184" s="4" t="s">
        <v>58</v>
      </c>
      <c r="C184" s="9" t="s">
        <v>130</v>
      </c>
      <c r="D184" s="286"/>
      <c r="E184" s="5">
        <v>12</v>
      </c>
      <c r="F184" s="3">
        <v>0.06</v>
      </c>
      <c r="G184" s="3"/>
      <c r="H184" s="13">
        <v>0</v>
      </c>
      <c r="I184" s="29">
        <f t="shared" si="47"/>
        <v>0</v>
      </c>
      <c r="J184" s="30">
        <f t="shared" si="48"/>
        <v>0</v>
      </c>
      <c r="K184" s="93">
        <f t="shared" si="33"/>
        <v>0</v>
      </c>
      <c r="L184" s="93">
        <f t="shared" si="34"/>
        <v>0</v>
      </c>
      <c r="M184" s="93">
        <f t="shared" si="35"/>
        <v>0</v>
      </c>
      <c r="N184" s="64"/>
      <c r="O184" s="69"/>
      <c r="P184" s="62">
        <f t="shared" si="36"/>
        <v>0</v>
      </c>
      <c r="Q184" s="218"/>
      <c r="R184" s="218"/>
      <c r="S184" s="218"/>
      <c r="T184" s="111"/>
      <c r="U184" s="108">
        <f t="shared" si="46"/>
        <v>0</v>
      </c>
      <c r="V184" s="79">
        <f t="shared" si="42"/>
        <v>0</v>
      </c>
      <c r="W184" s="86"/>
      <c r="X184" s="244"/>
      <c r="Y184" s="272"/>
      <c r="Z184" s="111"/>
    </row>
    <row r="185" spans="1:26" ht="26.25" customHeight="1" x14ac:dyDescent="0.2">
      <c r="A185" s="711"/>
      <c r="B185" s="4" t="s">
        <v>59</v>
      </c>
      <c r="C185" s="9" t="s">
        <v>131</v>
      </c>
      <c r="D185" s="286"/>
      <c r="E185" s="5">
        <v>15</v>
      </c>
      <c r="F185" s="3">
        <v>7.4999999999999997E-2</v>
      </c>
      <c r="G185" s="3"/>
      <c r="H185" s="13">
        <v>0</v>
      </c>
      <c r="I185" s="29">
        <f t="shared" si="47"/>
        <v>0</v>
      </c>
      <c r="J185" s="30">
        <f t="shared" si="48"/>
        <v>0</v>
      </c>
      <c r="K185" s="93">
        <f t="shared" si="33"/>
        <v>0</v>
      </c>
      <c r="L185" s="93">
        <f t="shared" si="34"/>
        <v>0</v>
      </c>
      <c r="M185" s="93">
        <f t="shared" si="35"/>
        <v>0</v>
      </c>
      <c r="N185" s="64"/>
      <c r="O185" s="69"/>
      <c r="P185" s="62">
        <f t="shared" si="36"/>
        <v>0</v>
      </c>
      <c r="Q185" s="218"/>
      <c r="R185" s="218"/>
      <c r="S185" s="218"/>
      <c r="T185" s="111"/>
      <c r="U185" s="108">
        <f t="shared" si="46"/>
        <v>0</v>
      </c>
      <c r="V185" s="79">
        <f t="shared" si="42"/>
        <v>0</v>
      </c>
      <c r="W185" s="86"/>
      <c r="X185" s="244"/>
      <c r="Y185" s="272"/>
      <c r="Z185" s="111"/>
    </row>
    <row r="186" spans="1:26" ht="26.25" customHeight="1" x14ac:dyDescent="0.2">
      <c r="A186" s="711"/>
      <c r="B186" s="4" t="s">
        <v>60</v>
      </c>
      <c r="C186" s="9" t="s">
        <v>132</v>
      </c>
      <c r="D186" s="286"/>
      <c r="E186" s="5">
        <v>20</v>
      </c>
      <c r="F186" s="3">
        <v>8.5999999999999993E-2</v>
      </c>
      <c r="G186" s="3"/>
      <c r="H186" s="13">
        <v>0</v>
      </c>
      <c r="I186" s="29">
        <f t="shared" si="47"/>
        <v>0</v>
      </c>
      <c r="J186" s="30">
        <f t="shared" si="48"/>
        <v>0</v>
      </c>
      <c r="K186" s="93">
        <f t="shared" si="33"/>
        <v>0</v>
      </c>
      <c r="L186" s="93">
        <f t="shared" si="34"/>
        <v>0</v>
      </c>
      <c r="M186" s="93">
        <f t="shared" si="35"/>
        <v>0</v>
      </c>
      <c r="N186" s="64"/>
      <c r="O186" s="69"/>
      <c r="P186" s="62">
        <f t="shared" si="36"/>
        <v>0</v>
      </c>
      <c r="Q186" s="218"/>
      <c r="R186" s="218"/>
      <c r="S186" s="218"/>
      <c r="T186" s="111"/>
      <c r="U186" s="108">
        <f t="shared" si="46"/>
        <v>0</v>
      </c>
      <c r="V186" s="79">
        <f t="shared" si="42"/>
        <v>0</v>
      </c>
      <c r="W186" s="86"/>
      <c r="X186" s="244"/>
      <c r="Y186" s="272"/>
      <c r="Z186" s="111"/>
    </row>
    <row r="187" spans="1:26" ht="15.75" customHeight="1" x14ac:dyDescent="0.2">
      <c r="A187" s="711"/>
      <c r="B187" s="4" t="s">
        <v>328</v>
      </c>
      <c r="C187" s="9" t="s">
        <v>125</v>
      </c>
      <c r="D187" s="286"/>
      <c r="E187" s="5"/>
      <c r="F187" s="3">
        <v>0.54</v>
      </c>
      <c r="G187" s="3"/>
      <c r="H187" s="13">
        <v>0</v>
      </c>
      <c r="I187" s="29">
        <f t="shared" si="47"/>
        <v>0</v>
      </c>
      <c r="J187" s="30">
        <f t="shared" si="48"/>
        <v>0</v>
      </c>
      <c r="K187" s="93">
        <f t="shared" si="33"/>
        <v>0</v>
      </c>
      <c r="L187" s="93">
        <f t="shared" si="34"/>
        <v>0</v>
      </c>
      <c r="M187" s="93">
        <f t="shared" si="35"/>
        <v>0</v>
      </c>
      <c r="N187" s="64"/>
      <c r="O187" s="69"/>
      <c r="P187" s="62">
        <f t="shared" si="36"/>
        <v>0</v>
      </c>
      <c r="Q187" s="218"/>
      <c r="R187" s="218"/>
      <c r="S187" s="218"/>
      <c r="T187" s="111"/>
      <c r="U187" s="108">
        <f t="shared" si="46"/>
        <v>0</v>
      </c>
      <c r="V187" s="79">
        <f t="shared" si="42"/>
        <v>0</v>
      </c>
      <c r="W187" s="86"/>
      <c r="X187" s="244"/>
      <c r="Y187" s="272"/>
      <c r="Z187" s="111"/>
    </row>
    <row r="188" spans="1:26" ht="14.25" customHeight="1" x14ac:dyDescent="0.2">
      <c r="A188" s="711"/>
      <c r="B188" s="4" t="s">
        <v>331</v>
      </c>
      <c r="C188" s="9" t="s">
        <v>125</v>
      </c>
      <c r="D188" s="286"/>
      <c r="E188" s="36"/>
      <c r="F188" s="34"/>
      <c r="G188" s="34"/>
      <c r="H188" s="37"/>
      <c r="I188" s="38"/>
      <c r="J188" s="39"/>
      <c r="K188" s="94">
        <f t="shared" si="33"/>
        <v>0</v>
      </c>
      <c r="L188" s="94">
        <f t="shared" si="34"/>
        <v>0</v>
      </c>
      <c r="M188" s="94">
        <f t="shared" si="35"/>
        <v>0</v>
      </c>
      <c r="N188" s="64"/>
      <c r="O188" s="69"/>
      <c r="P188" s="62">
        <f t="shared" si="36"/>
        <v>0</v>
      </c>
      <c r="Q188" s="218"/>
      <c r="R188" s="218"/>
      <c r="S188" s="218"/>
      <c r="T188" s="111"/>
      <c r="U188" s="108">
        <f t="shared" si="46"/>
        <v>0</v>
      </c>
      <c r="V188" s="79">
        <f>T188-U188</f>
        <v>0</v>
      </c>
      <c r="W188" s="86"/>
      <c r="X188" s="244"/>
      <c r="Y188" s="272"/>
      <c r="Z188" s="111"/>
    </row>
    <row r="189" spans="1:26" ht="15.75" customHeight="1" x14ac:dyDescent="0.2">
      <c r="A189" s="711"/>
      <c r="B189" s="4" t="s">
        <v>330</v>
      </c>
      <c r="C189" s="9" t="s">
        <v>126</v>
      </c>
      <c r="D189" s="286"/>
      <c r="E189" s="5"/>
      <c r="F189" s="3">
        <v>0.114</v>
      </c>
      <c r="G189" s="3"/>
      <c r="H189" s="13">
        <v>0</v>
      </c>
      <c r="I189" s="29">
        <f>H189*E189</f>
        <v>0</v>
      </c>
      <c r="J189" s="30">
        <f>F189*H189</f>
        <v>0</v>
      </c>
      <c r="K189" s="93">
        <f t="shared" si="33"/>
        <v>0</v>
      </c>
      <c r="L189" s="93">
        <f t="shared" si="34"/>
        <v>0</v>
      </c>
      <c r="M189" s="93">
        <f t="shared" si="35"/>
        <v>0</v>
      </c>
      <c r="N189" s="64"/>
      <c r="O189" s="69"/>
      <c r="P189" s="62">
        <f t="shared" si="36"/>
        <v>0</v>
      </c>
      <c r="Q189" s="218"/>
      <c r="R189" s="218"/>
      <c r="S189" s="218"/>
      <c r="T189" s="111"/>
      <c r="U189" s="108">
        <f t="shared" si="46"/>
        <v>0</v>
      </c>
      <c r="V189" s="79">
        <f>T189-U189</f>
        <v>0</v>
      </c>
      <c r="W189" s="86"/>
      <c r="X189" s="244"/>
      <c r="Y189" s="272"/>
      <c r="Z189" s="111"/>
    </row>
    <row r="190" spans="1:26" ht="15.75" customHeight="1" x14ac:dyDescent="0.2">
      <c r="A190" s="711"/>
      <c r="B190" s="4" t="s">
        <v>329</v>
      </c>
      <c r="C190" s="9" t="s">
        <v>127</v>
      </c>
      <c r="D190" s="286"/>
      <c r="E190" s="5"/>
      <c r="F190" s="3">
        <v>0.09</v>
      </c>
      <c r="G190" s="3"/>
      <c r="H190" s="13">
        <v>0</v>
      </c>
      <c r="I190" s="29">
        <f>H190*E190</f>
        <v>0</v>
      </c>
      <c r="J190" s="30">
        <f>F190*H190</f>
        <v>0</v>
      </c>
      <c r="K190" s="93">
        <f t="shared" si="33"/>
        <v>0</v>
      </c>
      <c r="L190" s="93">
        <f t="shared" si="34"/>
        <v>0</v>
      </c>
      <c r="M190" s="93">
        <f t="shared" si="35"/>
        <v>0</v>
      </c>
      <c r="N190" s="64"/>
      <c r="O190" s="69"/>
      <c r="P190" s="62">
        <f t="shared" si="36"/>
        <v>0</v>
      </c>
      <c r="Q190" s="218"/>
      <c r="R190" s="218"/>
      <c r="S190" s="218"/>
      <c r="T190" s="111"/>
      <c r="U190" s="108">
        <f t="shared" si="46"/>
        <v>0</v>
      </c>
      <c r="V190" s="79">
        <f>T190-U190</f>
        <v>0</v>
      </c>
      <c r="W190" s="86"/>
      <c r="X190" s="244"/>
      <c r="Y190" s="272"/>
      <c r="Z190" s="111"/>
    </row>
    <row r="191" spans="1:26" ht="24.75" customHeight="1" x14ac:dyDescent="0.2">
      <c r="A191" s="711"/>
      <c r="B191" s="120" t="s">
        <v>364</v>
      </c>
      <c r="C191" s="41" t="s">
        <v>344</v>
      </c>
      <c r="D191" s="286"/>
      <c r="E191" s="36"/>
      <c r="F191" s="34"/>
      <c r="G191" s="34"/>
      <c r="H191" s="37"/>
      <c r="I191" s="38"/>
      <c r="J191" s="39"/>
      <c r="K191" s="94">
        <f t="shared" si="33"/>
        <v>0</v>
      </c>
      <c r="L191" s="94">
        <f t="shared" si="34"/>
        <v>0</v>
      </c>
      <c r="M191" s="94">
        <f t="shared" si="35"/>
        <v>0</v>
      </c>
      <c r="N191" s="64"/>
      <c r="O191" s="69"/>
      <c r="P191" s="62">
        <f t="shared" si="36"/>
        <v>0</v>
      </c>
      <c r="Q191" s="218"/>
      <c r="R191" s="218"/>
      <c r="S191" s="218"/>
      <c r="T191" s="111"/>
      <c r="U191" s="108">
        <f t="shared" si="46"/>
        <v>0</v>
      </c>
      <c r="V191" s="79">
        <f>T191-U191</f>
        <v>0</v>
      </c>
      <c r="W191" s="86"/>
      <c r="X191" s="244"/>
      <c r="Y191" s="272"/>
      <c r="Z191" s="111"/>
    </row>
    <row r="192" spans="1:26" ht="17.25" customHeight="1" x14ac:dyDescent="0.2">
      <c r="A192" s="711"/>
      <c r="B192" s="4" t="s">
        <v>300</v>
      </c>
      <c r="C192" s="9" t="s">
        <v>128</v>
      </c>
      <c r="D192" s="286"/>
      <c r="E192" s="5"/>
      <c r="F192" s="3">
        <v>0.114</v>
      </c>
      <c r="G192" s="3"/>
      <c r="H192" s="13">
        <v>0</v>
      </c>
      <c r="I192" s="29">
        <f>H192*E192</f>
        <v>0</v>
      </c>
      <c r="J192" s="30">
        <f>F192*H192</f>
        <v>0</v>
      </c>
      <c r="K192" s="95">
        <f t="shared" si="33"/>
        <v>0</v>
      </c>
      <c r="L192" s="95">
        <f t="shared" si="34"/>
        <v>0</v>
      </c>
      <c r="M192" s="95">
        <f t="shared" si="35"/>
        <v>0</v>
      </c>
      <c r="N192" s="68"/>
      <c r="O192" s="69"/>
      <c r="P192" s="62">
        <f t="shared" si="36"/>
        <v>0</v>
      </c>
      <c r="Q192" s="218"/>
      <c r="R192" s="218"/>
      <c r="S192" s="218"/>
      <c r="T192" s="111"/>
      <c r="U192" s="108">
        <f t="shared" si="46"/>
        <v>0</v>
      </c>
      <c r="V192" s="79">
        <f>T192-U192</f>
        <v>0</v>
      </c>
      <c r="W192" s="86"/>
      <c r="X192" s="244"/>
      <c r="Y192" s="272"/>
      <c r="Z192" s="111"/>
    </row>
    <row r="194" spans="2:26" x14ac:dyDescent="0.25">
      <c r="B194" s="15" t="s">
        <v>299</v>
      </c>
    </row>
    <row r="195" spans="2:26" x14ac:dyDescent="0.25">
      <c r="B195" s="11" t="s">
        <v>217</v>
      </c>
      <c r="C195"/>
      <c r="D195" s="287"/>
      <c r="E195"/>
      <c r="F195"/>
      <c r="G195"/>
      <c r="H195" s="18"/>
      <c r="I195" s="18" t="s">
        <v>335</v>
      </c>
      <c r="J195" s="18"/>
      <c r="K195" s="97"/>
      <c r="L195" s="97"/>
      <c r="M195" s="97"/>
      <c r="N195" s="18"/>
      <c r="O195" s="18"/>
      <c r="P195" s="18" t="s">
        <v>335</v>
      </c>
      <c r="Q195" s="97"/>
      <c r="R195" s="97"/>
      <c r="S195" s="97"/>
      <c r="T195" s="113"/>
      <c r="U195" s="18"/>
      <c r="Z195" s="113"/>
    </row>
    <row r="196" spans="2:26" x14ac:dyDescent="0.25">
      <c r="B196" s="11" t="s">
        <v>200</v>
      </c>
      <c r="C196"/>
      <c r="D196" s="287"/>
      <c r="E196"/>
      <c r="F196"/>
      <c r="G196"/>
      <c r="H196" s="18"/>
      <c r="I196" s="18" t="s">
        <v>164</v>
      </c>
      <c r="J196" s="18"/>
      <c r="K196" s="97"/>
      <c r="L196" s="97"/>
      <c r="M196" s="97"/>
      <c r="N196" s="18"/>
      <c r="O196" s="18"/>
      <c r="P196" s="18" t="s">
        <v>164</v>
      </c>
      <c r="Q196" s="97"/>
      <c r="R196" s="97"/>
      <c r="S196" s="97"/>
      <c r="T196" s="113"/>
      <c r="U196" s="18"/>
      <c r="Z196" s="113"/>
    </row>
    <row r="197" spans="2:26" x14ac:dyDescent="0.25">
      <c r="B197" s="11" t="s">
        <v>199</v>
      </c>
      <c r="C197"/>
      <c r="D197" s="287"/>
      <c r="E197"/>
      <c r="F197"/>
      <c r="G197"/>
      <c r="H197" s="18"/>
      <c r="I197" s="15" t="s">
        <v>148</v>
      </c>
      <c r="J197" s="18"/>
      <c r="K197" s="97"/>
      <c r="L197" s="97"/>
      <c r="M197" s="97"/>
      <c r="N197" s="18"/>
      <c r="O197" s="18"/>
      <c r="P197" s="15" t="s">
        <v>148</v>
      </c>
      <c r="T197" s="113"/>
      <c r="U197" s="18"/>
      <c r="Z197" s="113"/>
    </row>
    <row r="198" spans="2:26" x14ac:dyDescent="0.25">
      <c r="B198" s="11" t="s">
        <v>201</v>
      </c>
      <c r="C198"/>
      <c r="D198" s="287"/>
      <c r="E198"/>
      <c r="F198"/>
      <c r="G198"/>
      <c r="H198" s="18"/>
      <c r="I198" s="18" t="s">
        <v>436</v>
      </c>
      <c r="J198" s="18"/>
      <c r="K198" s="97"/>
      <c r="L198" s="97"/>
      <c r="M198" s="97"/>
      <c r="N198" s="18"/>
      <c r="O198" s="18"/>
      <c r="P198" s="18" t="s">
        <v>436</v>
      </c>
      <c r="Q198" s="97"/>
      <c r="R198" s="97"/>
      <c r="S198" s="97"/>
      <c r="T198" s="113"/>
      <c r="U198" s="18"/>
      <c r="Z198" s="113"/>
    </row>
    <row r="199" spans="2:26" x14ac:dyDescent="0.25">
      <c r="B199" s="11" t="s">
        <v>202</v>
      </c>
      <c r="C199"/>
      <c r="D199" s="287"/>
      <c r="E199"/>
      <c r="F199"/>
      <c r="G199"/>
      <c r="H199" s="18"/>
      <c r="I199" s="18" t="s">
        <v>297</v>
      </c>
      <c r="J199" s="18"/>
      <c r="K199" s="97"/>
      <c r="L199" s="97"/>
      <c r="M199" s="97"/>
      <c r="N199" s="18"/>
      <c r="O199" s="18"/>
      <c r="P199" s="18" t="s">
        <v>297</v>
      </c>
      <c r="Q199" s="97"/>
      <c r="R199" s="97"/>
      <c r="S199" s="97"/>
      <c r="T199" s="113"/>
      <c r="U199" s="18"/>
      <c r="Z199" s="113"/>
    </row>
    <row r="200" spans="2:26" x14ac:dyDescent="0.25">
      <c r="B200" s="11" t="s">
        <v>203</v>
      </c>
      <c r="C200"/>
      <c r="D200" s="287"/>
      <c r="E200"/>
      <c r="F200"/>
      <c r="G200"/>
      <c r="H200" s="19"/>
      <c r="I200" s="15" t="s">
        <v>183</v>
      </c>
      <c r="J200" s="19"/>
      <c r="K200" s="98"/>
      <c r="L200" s="98"/>
      <c r="M200" s="98"/>
      <c r="N200" s="19"/>
      <c r="O200" s="19"/>
      <c r="P200" s="15" t="s">
        <v>183</v>
      </c>
      <c r="T200" s="114"/>
      <c r="U200" s="19"/>
      <c r="Z200" s="114"/>
    </row>
    <row r="201" spans="2:26" x14ac:dyDescent="0.25">
      <c r="B201" s="15" t="s">
        <v>205</v>
      </c>
      <c r="C201"/>
      <c r="D201" s="287"/>
      <c r="E201"/>
      <c r="F201"/>
      <c r="G201"/>
      <c r="H201" s="19"/>
      <c r="I201" s="15" t="s">
        <v>182</v>
      </c>
      <c r="J201" s="19"/>
      <c r="K201" s="98"/>
      <c r="L201" s="98"/>
      <c r="M201" s="98"/>
      <c r="N201" s="19"/>
      <c r="O201" s="19"/>
      <c r="P201" s="15" t="s">
        <v>182</v>
      </c>
      <c r="T201" s="114"/>
      <c r="U201" s="19"/>
      <c r="Z201" s="114"/>
    </row>
    <row r="202" spans="2:26" x14ac:dyDescent="0.25">
      <c r="B202" s="15" t="s">
        <v>204</v>
      </c>
      <c r="C202"/>
      <c r="D202" s="287"/>
      <c r="E202"/>
      <c r="F202"/>
      <c r="G202"/>
      <c r="H202" s="19"/>
      <c r="I202" s="15" t="s">
        <v>437</v>
      </c>
      <c r="J202" s="19"/>
      <c r="K202" s="98"/>
      <c r="L202" s="98"/>
      <c r="M202" s="98"/>
      <c r="N202" s="19"/>
      <c r="O202" s="19"/>
      <c r="P202" s="15" t="s">
        <v>437</v>
      </c>
      <c r="T202" s="114"/>
      <c r="U202" s="19"/>
      <c r="Z202" s="114"/>
    </row>
    <row r="203" spans="2:26" x14ac:dyDescent="0.25">
      <c r="B203" s="11" t="s">
        <v>518</v>
      </c>
      <c r="C203"/>
      <c r="D203" s="287"/>
      <c r="E203"/>
      <c r="F203"/>
      <c r="G203"/>
    </row>
    <row r="204" spans="2:26" x14ac:dyDescent="0.25">
      <c r="B204" s="11" t="s">
        <v>519</v>
      </c>
      <c r="C204"/>
      <c r="D204" s="287"/>
      <c r="E204"/>
      <c r="F204"/>
      <c r="G204"/>
    </row>
    <row r="205" spans="2:26" x14ac:dyDescent="0.25">
      <c r="B205" s="15" t="s">
        <v>183</v>
      </c>
      <c r="C205"/>
      <c r="D205" s="287"/>
      <c r="E205"/>
      <c r="F205"/>
      <c r="G205"/>
    </row>
    <row r="206" spans="2:26" x14ac:dyDescent="0.25">
      <c r="B206" s="15" t="s">
        <v>182</v>
      </c>
      <c r="C206"/>
      <c r="D206" s="287"/>
      <c r="E206"/>
      <c r="F206"/>
      <c r="G206"/>
    </row>
    <row r="207" spans="2:26" x14ac:dyDescent="0.25">
      <c r="B207" s="15" t="s">
        <v>206</v>
      </c>
      <c r="C207"/>
      <c r="D207" s="287"/>
      <c r="E207"/>
      <c r="F207"/>
      <c r="G207"/>
    </row>
    <row r="208" spans="2:26" x14ac:dyDescent="0.25">
      <c r="B208" s="15" t="s">
        <v>207</v>
      </c>
      <c r="C208"/>
      <c r="D208" s="287"/>
      <c r="E208"/>
      <c r="F208"/>
      <c r="G208"/>
    </row>
  </sheetData>
  <mergeCells count="31">
    <mergeCell ref="A21:A25"/>
    <mergeCell ref="A1:O1"/>
    <mergeCell ref="A4:A6"/>
    <mergeCell ref="A8:A10"/>
    <mergeCell ref="A11:A17"/>
    <mergeCell ref="A18:A20"/>
    <mergeCell ref="A106:A107"/>
    <mergeCell ref="A26:A28"/>
    <mergeCell ref="A32:A53"/>
    <mergeCell ref="A54:A63"/>
    <mergeCell ref="A64:A78"/>
    <mergeCell ref="A79:A81"/>
    <mergeCell ref="A82:A86"/>
    <mergeCell ref="A30:A31"/>
    <mergeCell ref="A87:A88"/>
    <mergeCell ref="A89:A93"/>
    <mergeCell ref="A94:A96"/>
    <mergeCell ref="A97:A98"/>
    <mergeCell ref="A99:A105"/>
    <mergeCell ref="A172:A192"/>
    <mergeCell ref="A108:A112"/>
    <mergeCell ref="A113:A116"/>
    <mergeCell ref="A117:A120"/>
    <mergeCell ref="A121:A130"/>
    <mergeCell ref="A131:A134"/>
    <mergeCell ref="A135:A136"/>
    <mergeCell ref="A137:A139"/>
    <mergeCell ref="A140:A143"/>
    <mergeCell ref="A144:A165"/>
    <mergeCell ref="A166:A168"/>
    <mergeCell ref="A169:A170"/>
  </mergeCells>
  <pageMargins left="0.15748031496062992" right="0.15748031496062992" top="7.874015748031496E-2" bottom="7.874015748031496E-2" header="0.31496062992125984" footer="0.31496062992125984"/>
  <pageSetup paperSize="9" fitToHeight="0"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8"/>
  <sheetViews>
    <sheetView workbookViewId="0">
      <selection activeCell="G10" sqref="G10"/>
    </sheetView>
  </sheetViews>
  <sheetFormatPr defaultRowHeight="15.75" x14ac:dyDescent="0.25"/>
  <cols>
    <col min="1" max="1" width="13.85546875" style="53" customWidth="1"/>
    <col min="2" max="2" width="43.85546875" style="15" customWidth="1"/>
    <col min="3" max="3" width="13.5703125" style="19" customWidth="1"/>
    <col min="4" max="4" width="16.42578125" style="257" customWidth="1"/>
    <col min="5" max="5" width="8.7109375" style="109" customWidth="1"/>
    <col min="6" max="6" width="8.140625" style="109" customWidth="1"/>
    <col min="7" max="7" width="8.85546875" style="109" customWidth="1"/>
    <col min="8" max="8" width="8" style="112" customWidth="1"/>
    <col min="9" max="9" width="8.28515625" style="293" customWidth="1"/>
    <col min="10" max="10" width="8.140625" style="274" customWidth="1"/>
    <col min="11" max="11" width="9.7109375" style="112" customWidth="1"/>
    <col min="12" max="16384" width="9.140625" style="15"/>
  </cols>
  <sheetData>
    <row r="1" spans="1:11" ht="87" customHeight="1" x14ac:dyDescent="0.2">
      <c r="A1" s="712"/>
      <c r="B1" s="712"/>
      <c r="C1" s="712"/>
      <c r="D1" s="712"/>
      <c r="H1" s="255" t="s">
        <v>537</v>
      </c>
      <c r="I1" s="289"/>
      <c r="J1" s="270"/>
      <c r="K1" s="254"/>
    </row>
    <row r="2" spans="1:11" ht="26.25" customHeight="1" x14ac:dyDescent="0.25">
      <c r="A2" s="53" t="s">
        <v>439</v>
      </c>
      <c r="B2" s="57" t="s">
        <v>544</v>
      </c>
      <c r="C2" s="57"/>
      <c r="E2" s="288">
        <v>0.5</v>
      </c>
      <c r="F2" s="109">
        <v>0.1</v>
      </c>
      <c r="G2" s="109">
        <v>0.05</v>
      </c>
      <c r="I2" s="289"/>
      <c r="J2" s="270"/>
      <c r="K2" s="254"/>
    </row>
    <row r="3" spans="1:11" ht="81" customHeight="1" x14ac:dyDescent="0.25">
      <c r="A3" s="54" t="s">
        <v>133</v>
      </c>
      <c r="B3" s="21" t="s">
        <v>16</v>
      </c>
      <c r="C3" s="17" t="s">
        <v>43</v>
      </c>
      <c r="D3" s="258" t="s">
        <v>298</v>
      </c>
      <c r="E3" s="225" t="s">
        <v>520</v>
      </c>
      <c r="F3" s="225" t="s">
        <v>523</v>
      </c>
      <c r="G3" s="226" t="s">
        <v>522</v>
      </c>
      <c r="H3" s="227" t="s">
        <v>521</v>
      </c>
      <c r="I3" s="290" t="s">
        <v>532</v>
      </c>
      <c r="J3" s="271" t="s">
        <v>533</v>
      </c>
      <c r="K3" s="253" t="s">
        <v>536</v>
      </c>
    </row>
    <row r="4" spans="1:11" s="26" customFormat="1" ht="12.75" x14ac:dyDescent="0.2">
      <c r="A4" s="713" t="s">
        <v>150</v>
      </c>
      <c r="B4" s="48" t="s">
        <v>21</v>
      </c>
      <c r="C4" s="49" t="s">
        <v>12</v>
      </c>
      <c r="D4" s="259"/>
      <c r="E4" s="218">
        <f>(I4*1.5)+J4</f>
        <v>5362.5</v>
      </c>
      <c r="F4" s="218">
        <f>(I4*1.1)+J4</f>
        <v>3932.5000000000005</v>
      </c>
      <c r="G4" s="218">
        <f>(I4*1.05)+J4</f>
        <v>3753.75</v>
      </c>
      <c r="H4" s="111">
        <f>I4+J4</f>
        <v>3575</v>
      </c>
      <c r="I4" s="291">
        <f>2750*1.3</f>
        <v>3575</v>
      </c>
      <c r="J4" s="272"/>
      <c r="K4" s="111">
        <f t="shared" ref="K4:K35" si="0">H4/1.18</f>
        <v>3029.6610169491528</v>
      </c>
    </row>
    <row r="5" spans="1:11" s="26" customFormat="1" ht="12.75" x14ac:dyDescent="0.2">
      <c r="A5" s="713"/>
      <c r="B5" s="48" t="s">
        <v>433</v>
      </c>
      <c r="C5" s="52" t="s">
        <v>92</v>
      </c>
      <c r="D5" s="259"/>
      <c r="E5" s="218">
        <f t="shared" ref="E5:E68" si="1">(I5*1.5)+J5</f>
        <v>15015</v>
      </c>
      <c r="F5" s="218">
        <f t="shared" ref="F5:F68" si="2">(I5*1.1)+J5</f>
        <v>11011</v>
      </c>
      <c r="G5" s="218">
        <f t="shared" ref="G5:G68" si="3">(I5*1.05)+J5</f>
        <v>10510.5</v>
      </c>
      <c r="H5" s="111">
        <f t="shared" ref="H5:H68" si="4">I5+J5</f>
        <v>10010</v>
      </c>
      <c r="I5" s="291">
        <f>7700*1.3</f>
        <v>10010</v>
      </c>
      <c r="J5" s="272"/>
      <c r="K5" s="111">
        <f t="shared" si="0"/>
        <v>8483.0508474576272</v>
      </c>
    </row>
    <row r="6" spans="1:11" ht="13.5" thickBot="1" x14ac:dyDescent="0.25">
      <c r="A6" s="720"/>
      <c r="B6" s="134" t="s">
        <v>434</v>
      </c>
      <c r="C6" s="135" t="s">
        <v>435</v>
      </c>
      <c r="D6" s="275"/>
      <c r="E6" s="218">
        <f t="shared" si="1"/>
        <v>10510.5</v>
      </c>
      <c r="F6" s="218">
        <f t="shared" si="2"/>
        <v>7707.7000000000007</v>
      </c>
      <c r="G6" s="218">
        <f t="shared" si="3"/>
        <v>7357.35</v>
      </c>
      <c r="H6" s="111">
        <f t="shared" si="4"/>
        <v>7007</v>
      </c>
      <c r="I6" s="291">
        <f>5390*1.3</f>
        <v>7007</v>
      </c>
      <c r="J6" s="272"/>
      <c r="K6" s="111">
        <f t="shared" si="0"/>
        <v>5938.1355932203396</v>
      </c>
    </row>
    <row r="7" spans="1:11" ht="17.25" thickTop="1" thickBot="1" x14ac:dyDescent="0.3">
      <c r="A7" s="146" t="s">
        <v>151</v>
      </c>
      <c r="B7" s="147" t="s">
        <v>22</v>
      </c>
      <c r="C7" s="148" t="s">
        <v>166</v>
      </c>
      <c r="D7" s="276"/>
      <c r="E7" s="218">
        <f t="shared" si="1"/>
        <v>1033.5</v>
      </c>
      <c r="F7" s="218">
        <f t="shared" si="2"/>
        <v>757.90000000000009</v>
      </c>
      <c r="G7" s="218">
        <f t="shared" si="3"/>
        <v>723.45</v>
      </c>
      <c r="H7" s="111">
        <f t="shared" si="4"/>
        <v>689</v>
      </c>
      <c r="I7" s="291">
        <f>530*1.3</f>
        <v>689</v>
      </c>
      <c r="J7" s="272"/>
      <c r="K7" s="111">
        <f t="shared" si="0"/>
        <v>583.89830508474574</v>
      </c>
    </row>
    <row r="8" spans="1:11" ht="13.5" thickTop="1" x14ac:dyDescent="0.2">
      <c r="A8" s="717" t="s">
        <v>136</v>
      </c>
      <c r="B8" s="160" t="s">
        <v>463</v>
      </c>
      <c r="C8" s="161" t="s">
        <v>355</v>
      </c>
      <c r="D8" s="260"/>
      <c r="E8" s="218">
        <f t="shared" si="1"/>
        <v>24804</v>
      </c>
      <c r="F8" s="218">
        <f t="shared" si="2"/>
        <v>18189.600000000002</v>
      </c>
      <c r="G8" s="218">
        <f t="shared" si="3"/>
        <v>17362.8</v>
      </c>
      <c r="H8" s="111">
        <f t="shared" si="4"/>
        <v>16536</v>
      </c>
      <c r="I8" s="291">
        <f>12720*1.3</f>
        <v>16536</v>
      </c>
      <c r="J8" s="272"/>
      <c r="K8" s="111">
        <f t="shared" si="0"/>
        <v>14013.5593220339</v>
      </c>
    </row>
    <row r="9" spans="1:11" ht="12.75" x14ac:dyDescent="0.2">
      <c r="A9" s="710"/>
      <c r="B9" s="14" t="s">
        <v>464</v>
      </c>
      <c r="C9" s="7" t="s">
        <v>82</v>
      </c>
      <c r="D9" s="277"/>
      <c r="E9" s="218">
        <f t="shared" si="1"/>
        <v>19734</v>
      </c>
      <c r="F9" s="218">
        <f t="shared" si="2"/>
        <v>14471.6</v>
      </c>
      <c r="G9" s="218">
        <f t="shared" si="3"/>
        <v>13813.800000000001</v>
      </c>
      <c r="H9" s="111">
        <f t="shared" si="4"/>
        <v>13156</v>
      </c>
      <c r="I9" s="291">
        <f>1.3*10120</f>
        <v>13156</v>
      </c>
      <c r="J9" s="272"/>
      <c r="K9" s="111">
        <f t="shared" si="0"/>
        <v>11149.152542372882</v>
      </c>
    </row>
    <row r="10" spans="1:11" ht="23.25" thickBot="1" x14ac:dyDescent="0.25">
      <c r="A10" s="718"/>
      <c r="B10" s="173" t="s">
        <v>465</v>
      </c>
      <c r="C10" s="174" t="s">
        <v>96</v>
      </c>
      <c r="D10" s="256" t="s">
        <v>542</v>
      </c>
      <c r="E10" s="218">
        <f t="shared" si="1"/>
        <v>32024.199999999997</v>
      </c>
      <c r="F10" s="218">
        <f t="shared" si="2"/>
        <v>24881.48</v>
      </c>
      <c r="G10" s="218">
        <f t="shared" si="3"/>
        <v>23988.639999999999</v>
      </c>
      <c r="H10" s="111">
        <f t="shared" si="4"/>
        <v>23095.8</v>
      </c>
      <c r="I10" s="291">
        <f>1.3*13736</f>
        <v>17856.8</v>
      </c>
      <c r="J10" s="272">
        <v>5239</v>
      </c>
      <c r="K10" s="111">
        <f t="shared" si="0"/>
        <v>19572.711864406781</v>
      </c>
    </row>
    <row r="11" spans="1:11" ht="13.5" thickTop="1" x14ac:dyDescent="0.2">
      <c r="A11" s="717" t="s">
        <v>135</v>
      </c>
      <c r="B11" s="160" t="s">
        <v>466</v>
      </c>
      <c r="C11" s="181" t="s">
        <v>81</v>
      </c>
      <c r="D11" s="278"/>
      <c r="E11" s="218">
        <f t="shared" si="1"/>
        <v>10939.5</v>
      </c>
      <c r="F11" s="218">
        <f t="shared" si="2"/>
        <v>8022.3000000000011</v>
      </c>
      <c r="G11" s="218">
        <f t="shared" si="3"/>
        <v>7657.6500000000005</v>
      </c>
      <c r="H11" s="111">
        <f t="shared" si="4"/>
        <v>7293</v>
      </c>
      <c r="I11" s="291">
        <f>1.3*5610</f>
        <v>7293</v>
      </c>
      <c r="J11" s="272"/>
      <c r="K11" s="111">
        <f t="shared" si="0"/>
        <v>6180.5084745762715</v>
      </c>
    </row>
    <row r="12" spans="1:11" ht="12.75" x14ac:dyDescent="0.2">
      <c r="A12" s="710"/>
      <c r="B12" s="14" t="s">
        <v>467</v>
      </c>
      <c r="C12" s="7" t="s">
        <v>92</v>
      </c>
      <c r="D12" s="261" t="s">
        <v>281</v>
      </c>
      <c r="E12" s="218">
        <f t="shared" si="1"/>
        <v>8951.4000000000015</v>
      </c>
      <c r="F12" s="218">
        <f t="shared" si="2"/>
        <v>7333.1600000000008</v>
      </c>
      <c r="G12" s="218">
        <f t="shared" si="3"/>
        <v>7130.88</v>
      </c>
      <c r="H12" s="111">
        <f t="shared" si="4"/>
        <v>6928.6</v>
      </c>
      <c r="I12" s="291">
        <f>1.3*3112</f>
        <v>4045.6000000000004</v>
      </c>
      <c r="J12" s="272">
        <v>2883</v>
      </c>
      <c r="K12" s="111">
        <f t="shared" si="0"/>
        <v>5871.6949152542375</v>
      </c>
    </row>
    <row r="13" spans="1:11" ht="12.75" x14ac:dyDescent="0.2">
      <c r="A13" s="710"/>
      <c r="B13" s="14" t="s">
        <v>468</v>
      </c>
      <c r="C13" s="7" t="s">
        <v>92</v>
      </c>
      <c r="D13" s="261" t="s">
        <v>281</v>
      </c>
      <c r="E13" s="218">
        <f t="shared" si="1"/>
        <v>9809.4000000000015</v>
      </c>
      <c r="F13" s="218">
        <f t="shared" si="2"/>
        <v>7962.3600000000006</v>
      </c>
      <c r="G13" s="218">
        <f t="shared" si="3"/>
        <v>7731.4800000000005</v>
      </c>
      <c r="H13" s="111">
        <f t="shared" si="4"/>
        <v>7500.6</v>
      </c>
      <c r="I13" s="291">
        <f>1.3*3552</f>
        <v>4617.6000000000004</v>
      </c>
      <c r="J13" s="272">
        <v>2883</v>
      </c>
      <c r="K13" s="111">
        <f t="shared" si="0"/>
        <v>6356.4406779661022</v>
      </c>
    </row>
    <row r="14" spans="1:11" ht="12.75" x14ac:dyDescent="0.2">
      <c r="A14" s="710"/>
      <c r="B14" s="14" t="s">
        <v>469</v>
      </c>
      <c r="C14" s="7" t="s">
        <v>94</v>
      </c>
      <c r="D14" s="261" t="s">
        <v>282</v>
      </c>
      <c r="E14" s="218">
        <f t="shared" si="1"/>
        <v>9816.5</v>
      </c>
      <c r="F14" s="218">
        <f t="shared" si="2"/>
        <v>8116.1</v>
      </c>
      <c r="G14" s="218">
        <f t="shared" si="3"/>
        <v>7903.55</v>
      </c>
      <c r="H14" s="111">
        <f t="shared" si="4"/>
        <v>7691</v>
      </c>
      <c r="I14" s="291">
        <f>1.3*3270</f>
        <v>4251</v>
      </c>
      <c r="J14" s="272">
        <v>3440</v>
      </c>
      <c r="K14" s="111">
        <f t="shared" si="0"/>
        <v>6517.7966101694919</v>
      </c>
    </row>
    <row r="15" spans="1:11" ht="12.75" x14ac:dyDescent="0.2">
      <c r="A15" s="710"/>
      <c r="B15" s="14" t="s">
        <v>470</v>
      </c>
      <c r="C15" s="7" t="s">
        <v>94</v>
      </c>
      <c r="D15" s="261" t="s">
        <v>282</v>
      </c>
      <c r="E15" s="218">
        <f t="shared" si="1"/>
        <v>10674.5</v>
      </c>
      <c r="F15" s="218">
        <f t="shared" si="2"/>
        <v>8745.2999999999993</v>
      </c>
      <c r="G15" s="218">
        <f t="shared" si="3"/>
        <v>8504.1500000000015</v>
      </c>
      <c r="H15" s="111">
        <f t="shared" si="4"/>
        <v>8263</v>
      </c>
      <c r="I15" s="291">
        <f>1.3*3710</f>
        <v>4823</v>
      </c>
      <c r="J15" s="272">
        <v>3440</v>
      </c>
      <c r="K15" s="111">
        <f t="shared" si="0"/>
        <v>7002.5423728813566</v>
      </c>
    </row>
    <row r="16" spans="1:11" ht="12.75" x14ac:dyDescent="0.2">
      <c r="A16" s="710"/>
      <c r="B16" s="14" t="s">
        <v>471</v>
      </c>
      <c r="C16" s="7" t="s">
        <v>95</v>
      </c>
      <c r="D16" s="261" t="s">
        <v>283</v>
      </c>
      <c r="E16" s="218">
        <f t="shared" si="1"/>
        <v>11990.150000000001</v>
      </c>
      <c r="F16" s="218">
        <f t="shared" si="2"/>
        <v>9942.91</v>
      </c>
      <c r="G16" s="218">
        <f t="shared" si="3"/>
        <v>9687.005000000001</v>
      </c>
      <c r="H16" s="111">
        <f t="shared" si="4"/>
        <v>9431.1</v>
      </c>
      <c r="I16" s="291">
        <f>1.3*3937</f>
        <v>5118.1000000000004</v>
      </c>
      <c r="J16" s="272">
        <v>4313</v>
      </c>
      <c r="K16" s="111">
        <f t="shared" si="0"/>
        <v>7992.4576271186452</v>
      </c>
    </row>
    <row r="17" spans="1:11" ht="13.5" thickBot="1" x14ac:dyDescent="0.25">
      <c r="A17" s="718"/>
      <c r="B17" s="173" t="s">
        <v>472</v>
      </c>
      <c r="C17" s="174" t="s">
        <v>95</v>
      </c>
      <c r="D17" s="256" t="s">
        <v>283</v>
      </c>
      <c r="E17" s="218">
        <f t="shared" si="1"/>
        <v>12848.150000000001</v>
      </c>
      <c r="F17" s="218">
        <f t="shared" si="2"/>
        <v>10572.11</v>
      </c>
      <c r="G17" s="218">
        <f t="shared" si="3"/>
        <v>10287.605</v>
      </c>
      <c r="H17" s="111">
        <f t="shared" si="4"/>
        <v>10003.1</v>
      </c>
      <c r="I17" s="291">
        <f>1.3*4377</f>
        <v>5690.1</v>
      </c>
      <c r="J17" s="272">
        <v>4313</v>
      </c>
      <c r="K17" s="111">
        <f t="shared" si="0"/>
        <v>8477.203389830509</v>
      </c>
    </row>
    <row r="18" spans="1:11" ht="13.5" thickTop="1" x14ac:dyDescent="0.2">
      <c r="A18" s="717" t="s">
        <v>149</v>
      </c>
      <c r="B18" s="160" t="s">
        <v>24</v>
      </c>
      <c r="C18" s="161" t="s">
        <v>6</v>
      </c>
      <c r="D18" s="260"/>
      <c r="E18" s="218">
        <f t="shared" si="1"/>
        <v>5040.75</v>
      </c>
      <c r="F18" s="218">
        <f t="shared" si="2"/>
        <v>3696.55</v>
      </c>
      <c r="G18" s="218">
        <f t="shared" si="3"/>
        <v>3528.5250000000001</v>
      </c>
      <c r="H18" s="111">
        <f t="shared" si="4"/>
        <v>3360.5</v>
      </c>
      <c r="I18" s="291">
        <f>1.3*2585</f>
        <v>3360.5</v>
      </c>
      <c r="J18" s="272"/>
      <c r="K18" s="111">
        <f t="shared" si="0"/>
        <v>2847.8813559322034</v>
      </c>
    </row>
    <row r="19" spans="1:11" ht="12.75" x14ac:dyDescent="0.2">
      <c r="A19" s="710"/>
      <c r="B19" s="14" t="s">
        <v>25</v>
      </c>
      <c r="C19" s="8" t="s">
        <v>7</v>
      </c>
      <c r="D19" s="262"/>
      <c r="E19" s="218">
        <f t="shared" si="1"/>
        <v>5362.5</v>
      </c>
      <c r="F19" s="218">
        <f t="shared" si="2"/>
        <v>3932.5000000000005</v>
      </c>
      <c r="G19" s="218">
        <f t="shared" si="3"/>
        <v>3753.75</v>
      </c>
      <c r="H19" s="111">
        <f t="shared" si="4"/>
        <v>3575</v>
      </c>
      <c r="I19" s="291">
        <f>1.3*2750</f>
        <v>3575</v>
      </c>
      <c r="J19" s="272"/>
      <c r="K19" s="111">
        <f t="shared" si="0"/>
        <v>3029.6610169491528</v>
      </c>
    </row>
    <row r="20" spans="1:11" ht="13.5" thickBot="1" x14ac:dyDescent="0.25">
      <c r="A20" s="718"/>
      <c r="B20" s="173" t="s">
        <v>26</v>
      </c>
      <c r="C20" s="182" t="s">
        <v>8</v>
      </c>
      <c r="D20" s="263"/>
      <c r="E20" s="218">
        <f t="shared" si="1"/>
        <v>5791.5</v>
      </c>
      <c r="F20" s="218">
        <f t="shared" si="2"/>
        <v>4247.1000000000004</v>
      </c>
      <c r="G20" s="218">
        <f t="shared" si="3"/>
        <v>4054.05</v>
      </c>
      <c r="H20" s="111">
        <f t="shared" si="4"/>
        <v>3861</v>
      </c>
      <c r="I20" s="291">
        <f>1.3*2970</f>
        <v>3861</v>
      </c>
      <c r="J20" s="272"/>
      <c r="K20" s="111">
        <f t="shared" si="0"/>
        <v>3272.0338983050851</v>
      </c>
    </row>
    <row r="21" spans="1:11" ht="12.75" customHeight="1" thickTop="1" x14ac:dyDescent="0.2">
      <c r="A21" s="724" t="s">
        <v>304</v>
      </c>
      <c r="B21" s="160" t="s">
        <v>473</v>
      </c>
      <c r="C21" s="183" t="s">
        <v>443</v>
      </c>
      <c r="D21" s="278"/>
      <c r="E21" s="218">
        <f t="shared" si="1"/>
        <v>3412.5</v>
      </c>
      <c r="F21" s="218">
        <f t="shared" si="2"/>
        <v>2502.5</v>
      </c>
      <c r="G21" s="218">
        <f t="shared" si="3"/>
        <v>2388.75</v>
      </c>
      <c r="H21" s="111">
        <f t="shared" si="4"/>
        <v>2275</v>
      </c>
      <c r="I21" s="291">
        <f>1.3*1750</f>
        <v>2275</v>
      </c>
      <c r="J21" s="272"/>
      <c r="K21" s="111">
        <f t="shared" si="0"/>
        <v>1927.9661016949153</v>
      </c>
    </row>
    <row r="22" spans="1:11" ht="12.75" customHeight="1" x14ac:dyDescent="0.2">
      <c r="A22" s="715"/>
      <c r="B22" s="14" t="s">
        <v>474</v>
      </c>
      <c r="C22" s="35" t="s">
        <v>447</v>
      </c>
      <c r="D22" s="277"/>
      <c r="E22" s="218">
        <f t="shared" si="1"/>
        <v>9009</v>
      </c>
      <c r="F22" s="218">
        <f t="shared" si="2"/>
        <v>6606.6</v>
      </c>
      <c r="G22" s="218">
        <f t="shared" si="3"/>
        <v>6306.3</v>
      </c>
      <c r="H22" s="111">
        <f t="shared" si="4"/>
        <v>6006</v>
      </c>
      <c r="I22" s="291">
        <f>1.3*4620</f>
        <v>6006</v>
      </c>
      <c r="J22" s="272"/>
      <c r="K22" s="111">
        <f t="shared" si="0"/>
        <v>5089.8305084745762</v>
      </c>
    </row>
    <row r="23" spans="1:11" ht="12.75" customHeight="1" x14ac:dyDescent="0.2">
      <c r="A23" s="715"/>
      <c r="B23" s="14" t="s">
        <v>475</v>
      </c>
      <c r="C23" s="35" t="s">
        <v>84</v>
      </c>
      <c r="D23" s="277"/>
      <c r="E23" s="218">
        <f t="shared" si="1"/>
        <v>13513.5</v>
      </c>
      <c r="F23" s="218">
        <f t="shared" si="2"/>
        <v>9909.9000000000015</v>
      </c>
      <c r="G23" s="218">
        <f t="shared" si="3"/>
        <v>9459.4500000000007</v>
      </c>
      <c r="H23" s="111">
        <f t="shared" si="4"/>
        <v>9009</v>
      </c>
      <c r="I23" s="291">
        <f>1.3*6930</f>
        <v>9009</v>
      </c>
      <c r="J23" s="272"/>
      <c r="K23" s="111">
        <f t="shared" si="0"/>
        <v>7634.7457627118647</v>
      </c>
    </row>
    <row r="24" spans="1:11" ht="12.75" customHeight="1" x14ac:dyDescent="0.2">
      <c r="A24" s="715"/>
      <c r="B24" s="14" t="s">
        <v>476</v>
      </c>
      <c r="C24" s="7" t="s">
        <v>305</v>
      </c>
      <c r="D24" s="259" t="s">
        <v>534</v>
      </c>
      <c r="E24" s="218">
        <f t="shared" si="1"/>
        <v>9693.2999999999993</v>
      </c>
      <c r="F24" s="218">
        <f t="shared" si="2"/>
        <v>7398.02</v>
      </c>
      <c r="G24" s="218">
        <f t="shared" si="3"/>
        <v>7111.11</v>
      </c>
      <c r="H24" s="111">
        <f t="shared" si="4"/>
        <v>6824.2</v>
      </c>
      <c r="I24" s="291">
        <f>1.3*4414</f>
        <v>5738.2</v>
      </c>
      <c r="J24" s="272">
        <v>1086</v>
      </c>
      <c r="K24" s="111">
        <f t="shared" si="0"/>
        <v>5783.2203389830511</v>
      </c>
    </row>
    <row r="25" spans="1:11" ht="15.75" customHeight="1" thickBot="1" x14ac:dyDescent="0.25">
      <c r="A25" s="725"/>
      <c r="B25" s="173" t="s">
        <v>477</v>
      </c>
      <c r="C25" s="174" t="s">
        <v>449</v>
      </c>
      <c r="D25" s="279" t="s">
        <v>450</v>
      </c>
      <c r="E25" s="218">
        <f t="shared" si="1"/>
        <v>18319.5</v>
      </c>
      <c r="F25" s="218">
        <f t="shared" si="2"/>
        <v>14071.1</v>
      </c>
      <c r="G25" s="218">
        <f t="shared" si="3"/>
        <v>13540.050000000001</v>
      </c>
      <c r="H25" s="111">
        <f t="shared" si="4"/>
        <v>13009</v>
      </c>
      <c r="I25" s="291">
        <f>1.3*8170</f>
        <v>10621</v>
      </c>
      <c r="J25" s="272">
        <v>2388</v>
      </c>
      <c r="K25" s="111">
        <f t="shared" si="0"/>
        <v>11024.576271186441</v>
      </c>
    </row>
    <row r="26" spans="1:11" ht="13.5" thickTop="1" x14ac:dyDescent="0.2">
      <c r="A26" s="717" t="s">
        <v>134</v>
      </c>
      <c r="B26" s="160" t="s">
        <v>42</v>
      </c>
      <c r="C26" s="181" t="s">
        <v>61</v>
      </c>
      <c r="D26" s="278"/>
      <c r="E26" s="218">
        <f t="shared" si="1"/>
        <v>4163.25</v>
      </c>
      <c r="F26" s="218">
        <f t="shared" si="2"/>
        <v>3053.05</v>
      </c>
      <c r="G26" s="218">
        <f t="shared" si="3"/>
        <v>2914.2750000000001</v>
      </c>
      <c r="H26" s="111">
        <f t="shared" si="4"/>
        <v>2775.5</v>
      </c>
      <c r="I26" s="291">
        <f>1.3*2135</f>
        <v>2775.5</v>
      </c>
      <c r="J26" s="272"/>
      <c r="K26" s="111">
        <f t="shared" si="0"/>
        <v>2352.1186440677966</v>
      </c>
    </row>
    <row r="27" spans="1:11" ht="12.75" x14ac:dyDescent="0.2">
      <c r="A27" s="710"/>
      <c r="B27" s="14" t="s">
        <v>393</v>
      </c>
      <c r="C27" s="7" t="s">
        <v>80</v>
      </c>
      <c r="D27" s="277"/>
      <c r="E27" s="218">
        <f t="shared" si="1"/>
        <v>13162.5</v>
      </c>
      <c r="F27" s="218">
        <f t="shared" si="2"/>
        <v>9652.5</v>
      </c>
      <c r="G27" s="218">
        <f t="shared" si="3"/>
        <v>9213.75</v>
      </c>
      <c r="H27" s="111">
        <f t="shared" si="4"/>
        <v>8775</v>
      </c>
      <c r="I27" s="291">
        <f>1.3*6750</f>
        <v>8775</v>
      </c>
      <c r="J27" s="272"/>
      <c r="K27" s="111">
        <f t="shared" si="0"/>
        <v>7436.4406779661022</v>
      </c>
    </row>
    <row r="28" spans="1:11" ht="15" customHeight="1" thickBot="1" x14ac:dyDescent="0.25">
      <c r="A28" s="718"/>
      <c r="B28" s="173" t="s">
        <v>341</v>
      </c>
      <c r="C28" s="174" t="s">
        <v>93</v>
      </c>
      <c r="D28" s="256" t="s">
        <v>280</v>
      </c>
      <c r="E28" s="218">
        <f t="shared" si="1"/>
        <v>15805.400000000001</v>
      </c>
      <c r="F28" s="218">
        <f t="shared" si="2"/>
        <v>12096.760000000002</v>
      </c>
      <c r="G28" s="218">
        <f t="shared" si="3"/>
        <v>11633.18</v>
      </c>
      <c r="H28" s="111">
        <f t="shared" si="4"/>
        <v>11169.6</v>
      </c>
      <c r="I28" s="291">
        <f>1.3*7132</f>
        <v>9271.6</v>
      </c>
      <c r="J28" s="272">
        <v>1898</v>
      </c>
      <c r="K28" s="111">
        <f t="shared" si="0"/>
        <v>9465.7627118644068</v>
      </c>
    </row>
    <row r="29" spans="1:11" ht="17.25" thickTop="1" thickBot="1" x14ac:dyDescent="0.3">
      <c r="A29" s="146" t="s">
        <v>152</v>
      </c>
      <c r="B29" s="147" t="s">
        <v>27</v>
      </c>
      <c r="C29" s="148" t="s">
        <v>166</v>
      </c>
      <c r="D29" s="276"/>
      <c r="E29" s="218">
        <f t="shared" si="1"/>
        <v>1033.5</v>
      </c>
      <c r="F29" s="218">
        <f t="shared" si="2"/>
        <v>757.90000000000009</v>
      </c>
      <c r="G29" s="218">
        <f t="shared" si="3"/>
        <v>723.45</v>
      </c>
      <c r="H29" s="111">
        <f t="shared" si="4"/>
        <v>689</v>
      </c>
      <c r="I29" s="291">
        <f>1.3*530</f>
        <v>689</v>
      </c>
      <c r="J29" s="272"/>
      <c r="K29" s="111">
        <f t="shared" si="0"/>
        <v>583.89830508474574</v>
      </c>
    </row>
    <row r="30" spans="1:11" ht="13.5" customHeight="1" thickTop="1" x14ac:dyDescent="0.2">
      <c r="A30" s="724" t="s">
        <v>541</v>
      </c>
      <c r="B30" s="160" t="s">
        <v>539</v>
      </c>
      <c r="C30" s="181" t="s">
        <v>62</v>
      </c>
      <c r="D30" s="278"/>
      <c r="E30" s="218">
        <f t="shared" si="1"/>
        <v>5167.5</v>
      </c>
      <c r="F30" s="218">
        <f t="shared" si="2"/>
        <v>3789.5000000000005</v>
      </c>
      <c r="G30" s="218">
        <f t="shared" si="3"/>
        <v>3617.25</v>
      </c>
      <c r="H30" s="111">
        <f t="shared" si="4"/>
        <v>3445</v>
      </c>
      <c r="I30" s="291">
        <f>1.3*2650</f>
        <v>3445</v>
      </c>
      <c r="J30" s="272"/>
      <c r="K30" s="111">
        <f t="shared" si="0"/>
        <v>2919.4915254237289</v>
      </c>
    </row>
    <row r="31" spans="1:11" ht="17.25" customHeight="1" thickBot="1" x14ac:dyDescent="0.25">
      <c r="A31" s="725"/>
      <c r="B31" s="173" t="s">
        <v>540</v>
      </c>
      <c r="C31" s="174" t="s">
        <v>104</v>
      </c>
      <c r="D31" s="256" t="s">
        <v>285</v>
      </c>
      <c r="E31" s="218">
        <f t="shared" si="1"/>
        <v>5495</v>
      </c>
      <c r="F31" s="218">
        <f t="shared" si="2"/>
        <v>4351</v>
      </c>
      <c r="G31" s="218">
        <f t="shared" si="3"/>
        <v>4208</v>
      </c>
      <c r="H31" s="111">
        <f t="shared" si="4"/>
        <v>4065</v>
      </c>
      <c r="I31" s="291">
        <f>1.3*2200</f>
        <v>2860</v>
      </c>
      <c r="J31" s="272">
        <v>1205</v>
      </c>
      <c r="K31" s="111">
        <f t="shared" si="0"/>
        <v>3444.9152542372885</v>
      </c>
    </row>
    <row r="32" spans="1:11" ht="13.5" thickTop="1" x14ac:dyDescent="0.2">
      <c r="A32" s="717" t="s">
        <v>137</v>
      </c>
      <c r="B32" s="160" t="s">
        <v>177</v>
      </c>
      <c r="C32" s="161" t="s">
        <v>1</v>
      </c>
      <c r="D32" s="260"/>
      <c r="E32" s="218">
        <f t="shared" si="1"/>
        <v>5362.5</v>
      </c>
      <c r="F32" s="218">
        <f t="shared" si="2"/>
        <v>3932.5000000000005</v>
      </c>
      <c r="G32" s="218">
        <f t="shared" si="3"/>
        <v>3753.75</v>
      </c>
      <c r="H32" s="111">
        <f t="shared" si="4"/>
        <v>3575</v>
      </c>
      <c r="I32" s="291">
        <f>1.3*2750</f>
        <v>3575</v>
      </c>
      <c r="J32" s="272"/>
      <c r="K32" s="111">
        <f t="shared" si="0"/>
        <v>3029.6610169491528</v>
      </c>
    </row>
    <row r="33" spans="1:11" ht="12.75" x14ac:dyDescent="0.2">
      <c r="A33" s="710"/>
      <c r="B33" s="14" t="s">
        <v>171</v>
      </c>
      <c r="C33" s="8" t="s">
        <v>1</v>
      </c>
      <c r="D33" s="262"/>
      <c r="E33" s="218">
        <f t="shared" si="1"/>
        <v>6435</v>
      </c>
      <c r="F33" s="218">
        <f t="shared" si="2"/>
        <v>4719</v>
      </c>
      <c r="G33" s="218">
        <f t="shared" si="3"/>
        <v>4504.5</v>
      </c>
      <c r="H33" s="111">
        <f t="shared" si="4"/>
        <v>4290</v>
      </c>
      <c r="I33" s="291">
        <f>1.3*3300</f>
        <v>4290</v>
      </c>
      <c r="J33" s="272"/>
      <c r="K33" s="111">
        <f t="shared" si="0"/>
        <v>3635.5932203389834</v>
      </c>
    </row>
    <row r="34" spans="1:11" ht="12.75" x14ac:dyDescent="0.2">
      <c r="A34" s="710"/>
      <c r="B34" s="14" t="s">
        <v>175</v>
      </c>
      <c r="C34" s="8" t="s">
        <v>2</v>
      </c>
      <c r="D34" s="262"/>
      <c r="E34" s="218">
        <f t="shared" si="1"/>
        <v>6113.25</v>
      </c>
      <c r="F34" s="218">
        <f t="shared" si="2"/>
        <v>4483.05</v>
      </c>
      <c r="G34" s="218">
        <f t="shared" si="3"/>
        <v>4279.2750000000005</v>
      </c>
      <c r="H34" s="111">
        <f t="shared" si="4"/>
        <v>4075.5</v>
      </c>
      <c r="I34" s="291">
        <f>1.3*3135</f>
        <v>4075.5</v>
      </c>
      <c r="J34" s="272"/>
      <c r="K34" s="111">
        <f t="shared" si="0"/>
        <v>3453.8135593220341</v>
      </c>
    </row>
    <row r="35" spans="1:11" ht="12.75" x14ac:dyDescent="0.2">
      <c r="A35" s="710"/>
      <c r="B35" s="14" t="s">
        <v>172</v>
      </c>
      <c r="C35" s="8" t="s">
        <v>2</v>
      </c>
      <c r="D35" s="262"/>
      <c r="E35" s="218">
        <f t="shared" si="1"/>
        <v>7371</v>
      </c>
      <c r="F35" s="218">
        <f t="shared" si="2"/>
        <v>5405.4000000000005</v>
      </c>
      <c r="G35" s="218">
        <f t="shared" si="3"/>
        <v>5159.7</v>
      </c>
      <c r="H35" s="111">
        <f t="shared" si="4"/>
        <v>4914</v>
      </c>
      <c r="I35" s="291">
        <f>1.3*3780</f>
        <v>4914</v>
      </c>
      <c r="J35" s="272"/>
      <c r="K35" s="111">
        <f t="shared" si="0"/>
        <v>4164.406779661017</v>
      </c>
    </row>
    <row r="36" spans="1:11" ht="12.75" x14ac:dyDescent="0.2">
      <c r="A36" s="710"/>
      <c r="B36" s="14" t="s">
        <v>176</v>
      </c>
      <c r="C36" s="8" t="s">
        <v>3</v>
      </c>
      <c r="D36" s="262"/>
      <c r="E36" s="218">
        <f t="shared" si="1"/>
        <v>7185.75</v>
      </c>
      <c r="F36" s="218">
        <f t="shared" si="2"/>
        <v>5269.55</v>
      </c>
      <c r="G36" s="218">
        <f t="shared" si="3"/>
        <v>5030.0250000000005</v>
      </c>
      <c r="H36" s="111">
        <f t="shared" si="4"/>
        <v>4790.5</v>
      </c>
      <c r="I36" s="291">
        <f>1.3*3685</f>
        <v>4790.5</v>
      </c>
      <c r="J36" s="272"/>
      <c r="K36" s="111">
        <f t="shared" ref="K36:K67" si="5">H36/1.18</f>
        <v>4059.7457627118647</v>
      </c>
    </row>
    <row r="37" spans="1:11" ht="12.75" x14ac:dyDescent="0.2">
      <c r="A37" s="710"/>
      <c r="B37" s="14" t="s">
        <v>173</v>
      </c>
      <c r="C37" s="8" t="s">
        <v>3</v>
      </c>
      <c r="D37" s="262"/>
      <c r="E37" s="218">
        <f t="shared" si="1"/>
        <v>8648.25</v>
      </c>
      <c r="F37" s="218">
        <f t="shared" si="2"/>
        <v>6342.05</v>
      </c>
      <c r="G37" s="218">
        <f t="shared" si="3"/>
        <v>6053.7750000000005</v>
      </c>
      <c r="H37" s="111">
        <f t="shared" si="4"/>
        <v>5765.5</v>
      </c>
      <c r="I37" s="291">
        <f>1.3*4435</f>
        <v>5765.5</v>
      </c>
      <c r="J37" s="272"/>
      <c r="K37" s="111">
        <f t="shared" si="5"/>
        <v>4886.016949152543</v>
      </c>
    </row>
    <row r="38" spans="1:11" ht="12.75" x14ac:dyDescent="0.2">
      <c r="A38" s="710"/>
      <c r="B38" s="14" t="s">
        <v>168</v>
      </c>
      <c r="C38" s="8" t="s">
        <v>4</v>
      </c>
      <c r="D38" s="262"/>
      <c r="E38" s="218">
        <f t="shared" si="1"/>
        <v>9867</v>
      </c>
      <c r="F38" s="218">
        <f t="shared" si="2"/>
        <v>7235.8</v>
      </c>
      <c r="G38" s="218">
        <f t="shared" si="3"/>
        <v>6906.9000000000005</v>
      </c>
      <c r="H38" s="111">
        <f t="shared" si="4"/>
        <v>6578</v>
      </c>
      <c r="I38" s="291">
        <f>1.3*5060</f>
        <v>6578</v>
      </c>
      <c r="J38" s="272"/>
      <c r="K38" s="111">
        <f t="shared" si="5"/>
        <v>5574.5762711864409</v>
      </c>
    </row>
    <row r="39" spans="1:11" ht="12.75" x14ac:dyDescent="0.2">
      <c r="A39" s="710"/>
      <c r="B39" s="14" t="s">
        <v>169</v>
      </c>
      <c r="C39" s="8" t="s">
        <v>4</v>
      </c>
      <c r="D39" s="262"/>
      <c r="E39" s="218">
        <f t="shared" si="1"/>
        <v>11865.75</v>
      </c>
      <c r="F39" s="218">
        <f t="shared" si="2"/>
        <v>8701.5500000000011</v>
      </c>
      <c r="G39" s="218">
        <f t="shared" si="3"/>
        <v>8306.0249999999996</v>
      </c>
      <c r="H39" s="111">
        <f t="shared" si="4"/>
        <v>7910.5</v>
      </c>
      <c r="I39" s="291">
        <f>1.3*6085</f>
        <v>7910.5</v>
      </c>
      <c r="J39" s="272"/>
      <c r="K39" s="111">
        <f t="shared" si="5"/>
        <v>6703.8135593220341</v>
      </c>
    </row>
    <row r="40" spans="1:11" ht="12.75" x14ac:dyDescent="0.2">
      <c r="A40" s="710"/>
      <c r="B40" s="14" t="s">
        <v>174</v>
      </c>
      <c r="C40" s="8" t="s">
        <v>5</v>
      </c>
      <c r="D40" s="262"/>
      <c r="E40" s="218">
        <f t="shared" si="1"/>
        <v>10725</v>
      </c>
      <c r="F40" s="218">
        <f t="shared" si="2"/>
        <v>7865.0000000000009</v>
      </c>
      <c r="G40" s="218">
        <f t="shared" si="3"/>
        <v>7507.5</v>
      </c>
      <c r="H40" s="111">
        <f t="shared" si="4"/>
        <v>7150</v>
      </c>
      <c r="I40" s="291">
        <f>1.3*5500</f>
        <v>7150</v>
      </c>
      <c r="J40" s="272"/>
      <c r="K40" s="111">
        <f t="shared" si="5"/>
        <v>6059.3220338983056</v>
      </c>
    </row>
    <row r="41" spans="1:11" ht="12.75" x14ac:dyDescent="0.2">
      <c r="A41" s="710"/>
      <c r="B41" s="14" t="s">
        <v>170</v>
      </c>
      <c r="C41" s="8" t="s">
        <v>5</v>
      </c>
      <c r="D41" s="262"/>
      <c r="E41" s="218">
        <f t="shared" si="1"/>
        <v>12899.25</v>
      </c>
      <c r="F41" s="218">
        <f t="shared" si="2"/>
        <v>9459.4500000000007</v>
      </c>
      <c r="G41" s="218">
        <f t="shared" si="3"/>
        <v>9029.4750000000004</v>
      </c>
      <c r="H41" s="111">
        <f t="shared" si="4"/>
        <v>8599.5</v>
      </c>
      <c r="I41" s="291">
        <f>1.3*6615</f>
        <v>8599.5</v>
      </c>
      <c r="J41" s="272"/>
      <c r="K41" s="111">
        <f t="shared" si="5"/>
        <v>7287.7118644067805</v>
      </c>
    </row>
    <row r="42" spans="1:11" ht="12.75" x14ac:dyDescent="0.2">
      <c r="A42" s="710"/>
      <c r="B42" s="14" t="s">
        <v>373</v>
      </c>
      <c r="C42" s="7" t="s">
        <v>75</v>
      </c>
      <c r="D42" s="277"/>
      <c r="E42" s="218">
        <f t="shared" si="1"/>
        <v>16087.5</v>
      </c>
      <c r="F42" s="218">
        <f t="shared" si="2"/>
        <v>11797.500000000002</v>
      </c>
      <c r="G42" s="218">
        <f t="shared" si="3"/>
        <v>11261.25</v>
      </c>
      <c r="H42" s="111">
        <f t="shared" si="4"/>
        <v>10725</v>
      </c>
      <c r="I42" s="291">
        <f>1.3*8250</f>
        <v>10725</v>
      </c>
      <c r="J42" s="272"/>
      <c r="K42" s="111">
        <f t="shared" si="5"/>
        <v>9088.9830508474588</v>
      </c>
    </row>
    <row r="43" spans="1:11" ht="12.75" x14ac:dyDescent="0.2">
      <c r="A43" s="710"/>
      <c r="B43" s="14" t="s">
        <v>374</v>
      </c>
      <c r="C43" s="7" t="s">
        <v>75</v>
      </c>
      <c r="D43" s="277"/>
      <c r="E43" s="218">
        <f t="shared" si="1"/>
        <v>18049.2</v>
      </c>
      <c r="F43" s="218">
        <f t="shared" si="2"/>
        <v>13236.080000000002</v>
      </c>
      <c r="G43" s="218">
        <f t="shared" si="3"/>
        <v>12634.440000000002</v>
      </c>
      <c r="H43" s="111">
        <f t="shared" si="4"/>
        <v>12032.800000000001</v>
      </c>
      <c r="I43" s="291">
        <f>1.3*9256</f>
        <v>12032.800000000001</v>
      </c>
      <c r="J43" s="272"/>
      <c r="K43" s="111">
        <f t="shared" si="5"/>
        <v>10197.288135593222</v>
      </c>
    </row>
    <row r="44" spans="1:11" ht="18.75" customHeight="1" x14ac:dyDescent="0.2">
      <c r="A44" s="710"/>
      <c r="B44" s="14" t="s">
        <v>227</v>
      </c>
      <c r="C44" s="7" t="s">
        <v>89</v>
      </c>
      <c r="D44" s="261" t="s">
        <v>285</v>
      </c>
      <c r="E44" s="218">
        <f t="shared" si="1"/>
        <v>9687.5</v>
      </c>
      <c r="F44" s="218">
        <f t="shared" si="2"/>
        <v>7425.5000000000009</v>
      </c>
      <c r="G44" s="218">
        <f t="shared" si="3"/>
        <v>7142.75</v>
      </c>
      <c r="H44" s="111">
        <f t="shared" si="4"/>
        <v>6860</v>
      </c>
      <c r="I44" s="291">
        <f>1.3*4350</f>
        <v>5655</v>
      </c>
      <c r="J44" s="272">
        <v>1205</v>
      </c>
      <c r="K44" s="111">
        <f t="shared" si="5"/>
        <v>5813.5593220338988</v>
      </c>
    </row>
    <row r="45" spans="1:11" ht="19.5" customHeight="1" x14ac:dyDescent="0.2">
      <c r="A45" s="710"/>
      <c r="B45" s="14" t="s">
        <v>232</v>
      </c>
      <c r="C45" s="7" t="s">
        <v>89</v>
      </c>
      <c r="D45" s="261" t="s">
        <v>285</v>
      </c>
      <c r="E45" s="218">
        <f t="shared" si="1"/>
        <v>11861.75</v>
      </c>
      <c r="F45" s="218">
        <f t="shared" si="2"/>
        <v>9019.9500000000007</v>
      </c>
      <c r="G45" s="218">
        <f t="shared" si="3"/>
        <v>8664.7250000000004</v>
      </c>
      <c r="H45" s="111">
        <f t="shared" si="4"/>
        <v>8309.5</v>
      </c>
      <c r="I45" s="291">
        <f>1.3*5465</f>
        <v>7104.5</v>
      </c>
      <c r="J45" s="272">
        <v>1205</v>
      </c>
      <c r="K45" s="111">
        <f t="shared" si="5"/>
        <v>7041.9491525423737</v>
      </c>
    </row>
    <row r="46" spans="1:11" ht="24.75" customHeight="1" x14ac:dyDescent="0.2">
      <c r="A46" s="710"/>
      <c r="B46" s="14" t="s">
        <v>228</v>
      </c>
      <c r="C46" s="7" t="s">
        <v>90</v>
      </c>
      <c r="D46" s="261" t="s">
        <v>286</v>
      </c>
      <c r="E46" s="218">
        <f t="shared" si="1"/>
        <v>10260</v>
      </c>
      <c r="F46" s="218">
        <f t="shared" si="2"/>
        <v>7868.0000000000009</v>
      </c>
      <c r="G46" s="218">
        <f t="shared" si="3"/>
        <v>7569</v>
      </c>
      <c r="H46" s="111">
        <f t="shared" si="4"/>
        <v>7270</v>
      </c>
      <c r="I46" s="291">
        <f>1.3*4600</f>
        <v>5980</v>
      </c>
      <c r="J46" s="272">
        <v>1290</v>
      </c>
      <c r="K46" s="111">
        <f t="shared" si="5"/>
        <v>6161.016949152543</v>
      </c>
    </row>
    <row r="47" spans="1:11" ht="25.5" customHeight="1" x14ac:dyDescent="0.2">
      <c r="A47" s="710"/>
      <c r="B47" s="14" t="s">
        <v>233</v>
      </c>
      <c r="C47" s="7" t="s">
        <v>90</v>
      </c>
      <c r="D47" s="261" t="s">
        <v>286</v>
      </c>
      <c r="E47" s="218">
        <f t="shared" si="1"/>
        <v>12561</v>
      </c>
      <c r="F47" s="218">
        <f t="shared" si="2"/>
        <v>9555.4000000000015</v>
      </c>
      <c r="G47" s="218">
        <f t="shared" si="3"/>
        <v>9179.7000000000007</v>
      </c>
      <c r="H47" s="111">
        <f t="shared" si="4"/>
        <v>8804</v>
      </c>
      <c r="I47" s="291">
        <f>1.3*5780</f>
        <v>7514</v>
      </c>
      <c r="J47" s="272">
        <v>1290</v>
      </c>
      <c r="K47" s="111">
        <f t="shared" si="5"/>
        <v>7461.016949152543</v>
      </c>
    </row>
    <row r="48" spans="1:11" ht="24.75" customHeight="1" x14ac:dyDescent="0.2">
      <c r="A48" s="710"/>
      <c r="B48" s="14" t="s">
        <v>229</v>
      </c>
      <c r="C48" s="7" t="s">
        <v>91</v>
      </c>
      <c r="D48" s="261" t="s">
        <v>287</v>
      </c>
      <c r="E48" s="218">
        <f t="shared" si="1"/>
        <v>13278.75</v>
      </c>
      <c r="F48" s="218">
        <f t="shared" si="2"/>
        <v>10374.550000000001</v>
      </c>
      <c r="G48" s="218">
        <f t="shared" si="3"/>
        <v>10011.525000000001</v>
      </c>
      <c r="H48" s="111">
        <f t="shared" si="4"/>
        <v>9648.5</v>
      </c>
      <c r="I48" s="291">
        <f>1.3*5585</f>
        <v>7260.5</v>
      </c>
      <c r="J48" s="272">
        <v>2388</v>
      </c>
      <c r="K48" s="111">
        <f t="shared" si="5"/>
        <v>8176.6949152542375</v>
      </c>
    </row>
    <row r="49" spans="1:11" ht="24" customHeight="1" x14ac:dyDescent="0.2">
      <c r="A49" s="710"/>
      <c r="B49" s="14" t="s">
        <v>234</v>
      </c>
      <c r="C49" s="7" t="s">
        <v>91</v>
      </c>
      <c r="D49" s="261" t="s">
        <v>287</v>
      </c>
      <c r="E49" s="218">
        <f t="shared" si="1"/>
        <v>16389</v>
      </c>
      <c r="F49" s="218">
        <f t="shared" si="2"/>
        <v>12655.400000000001</v>
      </c>
      <c r="G49" s="218">
        <f t="shared" si="3"/>
        <v>12188.7</v>
      </c>
      <c r="H49" s="111">
        <f t="shared" si="4"/>
        <v>11722</v>
      </c>
      <c r="I49" s="291">
        <f>1.3*7180</f>
        <v>9334</v>
      </c>
      <c r="J49" s="272">
        <v>2388</v>
      </c>
      <c r="K49" s="111">
        <f t="shared" si="5"/>
        <v>9933.8983050847455</v>
      </c>
    </row>
    <row r="50" spans="1:11" ht="26.25" customHeight="1" x14ac:dyDescent="0.2">
      <c r="A50" s="710"/>
      <c r="B50" s="14" t="s">
        <v>225</v>
      </c>
      <c r="C50" s="7" t="s">
        <v>87</v>
      </c>
      <c r="D50" s="261" t="s">
        <v>288</v>
      </c>
      <c r="E50" s="218">
        <f t="shared" si="1"/>
        <v>16552.7</v>
      </c>
      <c r="F50" s="218">
        <f t="shared" si="2"/>
        <v>12857.580000000002</v>
      </c>
      <c r="G50" s="218">
        <f t="shared" si="3"/>
        <v>12395.690000000002</v>
      </c>
      <c r="H50" s="111">
        <f t="shared" si="4"/>
        <v>11933.800000000001</v>
      </c>
      <c r="I50" s="291">
        <f>1.3*7106</f>
        <v>9237.8000000000011</v>
      </c>
      <c r="J50" s="272">
        <v>2696</v>
      </c>
      <c r="K50" s="111">
        <f t="shared" si="5"/>
        <v>10113.389830508477</v>
      </c>
    </row>
    <row r="51" spans="1:11" ht="27" customHeight="1" x14ac:dyDescent="0.2">
      <c r="A51" s="710"/>
      <c r="B51" s="14" t="s">
        <v>230</v>
      </c>
      <c r="C51" s="7" t="s">
        <v>87</v>
      </c>
      <c r="D51" s="261" t="s">
        <v>288</v>
      </c>
      <c r="E51" s="218">
        <f t="shared" si="1"/>
        <v>20370.800000000003</v>
      </c>
      <c r="F51" s="218">
        <f t="shared" si="2"/>
        <v>15657.520000000002</v>
      </c>
      <c r="G51" s="218">
        <f t="shared" si="3"/>
        <v>15068.36</v>
      </c>
      <c r="H51" s="111">
        <f t="shared" si="4"/>
        <v>14479.2</v>
      </c>
      <c r="I51" s="291">
        <f>1.3*9064</f>
        <v>11783.2</v>
      </c>
      <c r="J51" s="272">
        <v>2696</v>
      </c>
      <c r="K51" s="111">
        <f t="shared" si="5"/>
        <v>12270.508474576272</v>
      </c>
    </row>
    <row r="52" spans="1:11" ht="15.75" customHeight="1" x14ac:dyDescent="0.2">
      <c r="A52" s="710"/>
      <c r="B52" s="14" t="s">
        <v>226</v>
      </c>
      <c r="C52" s="7" t="s">
        <v>88</v>
      </c>
      <c r="D52" s="261" t="s">
        <v>289</v>
      </c>
      <c r="E52" s="218">
        <f t="shared" si="1"/>
        <v>23073.15</v>
      </c>
      <c r="F52" s="218">
        <f t="shared" si="2"/>
        <v>18873.11</v>
      </c>
      <c r="G52" s="218">
        <f t="shared" si="3"/>
        <v>18348.105000000003</v>
      </c>
      <c r="H52" s="111">
        <f t="shared" si="4"/>
        <v>17823.099999999999</v>
      </c>
      <c r="I52" s="291">
        <f>1.3*8077</f>
        <v>10500.1</v>
      </c>
      <c r="J52" s="272">
        <v>7323</v>
      </c>
      <c r="K52" s="111">
        <f t="shared" si="5"/>
        <v>15104.322033898305</v>
      </c>
    </row>
    <row r="53" spans="1:11" ht="15.75" customHeight="1" thickBot="1" x14ac:dyDescent="0.25">
      <c r="A53" s="718"/>
      <c r="B53" s="173" t="s">
        <v>231</v>
      </c>
      <c r="C53" s="174" t="s">
        <v>88</v>
      </c>
      <c r="D53" s="256" t="s">
        <v>289</v>
      </c>
      <c r="E53" s="218">
        <f t="shared" si="1"/>
        <v>29147.4</v>
      </c>
      <c r="F53" s="218">
        <f t="shared" si="2"/>
        <v>23327.56</v>
      </c>
      <c r="G53" s="218">
        <f t="shared" si="3"/>
        <v>22600.080000000002</v>
      </c>
      <c r="H53" s="111">
        <f t="shared" si="4"/>
        <v>21872.6</v>
      </c>
      <c r="I53" s="291">
        <f>1.3*11192</f>
        <v>14549.6</v>
      </c>
      <c r="J53" s="272">
        <v>7323</v>
      </c>
      <c r="K53" s="111">
        <f t="shared" si="5"/>
        <v>18536.101694915254</v>
      </c>
    </row>
    <row r="54" spans="1:11" ht="13.5" thickTop="1" x14ac:dyDescent="0.2">
      <c r="A54" s="716" t="s">
        <v>138</v>
      </c>
      <c r="B54" s="21" t="s">
        <v>406</v>
      </c>
      <c r="C54" s="145" t="s">
        <v>10</v>
      </c>
      <c r="D54" s="264"/>
      <c r="E54" s="218">
        <f t="shared" si="1"/>
        <v>4397.25</v>
      </c>
      <c r="F54" s="218">
        <f t="shared" si="2"/>
        <v>3224.65</v>
      </c>
      <c r="G54" s="218">
        <f t="shared" si="3"/>
        <v>3078.0750000000003</v>
      </c>
      <c r="H54" s="111">
        <f t="shared" si="4"/>
        <v>2931.5</v>
      </c>
      <c r="I54" s="291">
        <f>1.3*2255</f>
        <v>2931.5</v>
      </c>
      <c r="J54" s="272"/>
      <c r="K54" s="111">
        <f t="shared" si="5"/>
        <v>2484.3220338983051</v>
      </c>
    </row>
    <row r="55" spans="1:11" ht="12.75" x14ac:dyDescent="0.2">
      <c r="A55" s="710"/>
      <c r="B55" s="14" t="s">
        <v>407</v>
      </c>
      <c r="C55" s="8" t="s">
        <v>11</v>
      </c>
      <c r="D55" s="262"/>
      <c r="E55" s="218">
        <f t="shared" si="1"/>
        <v>4719</v>
      </c>
      <c r="F55" s="218">
        <f t="shared" si="2"/>
        <v>3460.6000000000004</v>
      </c>
      <c r="G55" s="218">
        <f t="shared" si="3"/>
        <v>3303.3</v>
      </c>
      <c r="H55" s="111">
        <f t="shared" si="4"/>
        <v>3146</v>
      </c>
      <c r="I55" s="291">
        <f>1.3*2420</f>
        <v>3146</v>
      </c>
      <c r="J55" s="272"/>
      <c r="K55" s="111">
        <f t="shared" si="5"/>
        <v>2666.1016949152545</v>
      </c>
    </row>
    <row r="56" spans="1:11" ht="12.75" x14ac:dyDescent="0.2">
      <c r="A56" s="710"/>
      <c r="B56" s="14" t="s">
        <v>28</v>
      </c>
      <c r="C56" s="8" t="s">
        <v>11</v>
      </c>
      <c r="D56" s="262"/>
      <c r="E56" s="218">
        <f t="shared" si="1"/>
        <v>6220.5</v>
      </c>
      <c r="F56" s="218">
        <f t="shared" si="2"/>
        <v>4561.7000000000007</v>
      </c>
      <c r="G56" s="218">
        <f t="shared" si="3"/>
        <v>4354.3500000000004</v>
      </c>
      <c r="H56" s="111">
        <f t="shared" si="4"/>
        <v>4147</v>
      </c>
      <c r="I56" s="291">
        <f>1.3*3190</f>
        <v>4147</v>
      </c>
      <c r="J56" s="272"/>
      <c r="K56" s="111">
        <f t="shared" si="5"/>
        <v>3514.406779661017</v>
      </c>
    </row>
    <row r="57" spans="1:11" ht="12.75" x14ac:dyDescent="0.2">
      <c r="A57" s="710"/>
      <c r="B57" s="14" t="s">
        <v>408</v>
      </c>
      <c r="C57" s="7" t="s">
        <v>83</v>
      </c>
      <c r="D57" s="277"/>
      <c r="E57" s="218">
        <f t="shared" si="1"/>
        <v>11046.75</v>
      </c>
      <c r="F57" s="218">
        <f t="shared" si="2"/>
        <v>8100.9500000000007</v>
      </c>
      <c r="G57" s="218">
        <f t="shared" si="3"/>
        <v>7732.7250000000004</v>
      </c>
      <c r="H57" s="111">
        <f t="shared" si="4"/>
        <v>7364.5</v>
      </c>
      <c r="I57" s="291">
        <f>1.3*5665</f>
        <v>7364.5</v>
      </c>
      <c r="J57" s="272"/>
      <c r="K57" s="111">
        <f t="shared" si="5"/>
        <v>6241.1016949152545</v>
      </c>
    </row>
    <row r="58" spans="1:11" ht="12.75" x14ac:dyDescent="0.2">
      <c r="A58" s="710"/>
      <c r="B58" s="14" t="s">
        <v>32</v>
      </c>
      <c r="C58" s="7" t="s">
        <v>92</v>
      </c>
      <c r="D58" s="261" t="s">
        <v>281</v>
      </c>
      <c r="E58" s="218">
        <f t="shared" si="1"/>
        <v>9058.6500000000015</v>
      </c>
      <c r="F58" s="218">
        <f t="shared" si="2"/>
        <v>7411.81</v>
      </c>
      <c r="G58" s="218">
        <f t="shared" si="3"/>
        <v>7205.9550000000008</v>
      </c>
      <c r="H58" s="111">
        <f t="shared" si="4"/>
        <v>7000.1</v>
      </c>
      <c r="I58" s="291">
        <f>1.3*3167</f>
        <v>4117.1000000000004</v>
      </c>
      <c r="J58" s="272">
        <v>2883</v>
      </c>
      <c r="K58" s="111">
        <f t="shared" si="5"/>
        <v>5932.2881355932213</v>
      </c>
    </row>
    <row r="59" spans="1:11" ht="12.75" x14ac:dyDescent="0.2">
      <c r="A59" s="710"/>
      <c r="B59" s="14" t="s">
        <v>33</v>
      </c>
      <c r="C59" s="7" t="s">
        <v>97</v>
      </c>
      <c r="D59" s="261" t="s">
        <v>281</v>
      </c>
      <c r="E59" s="218">
        <f t="shared" si="1"/>
        <v>11203.650000000001</v>
      </c>
      <c r="F59" s="218">
        <f t="shared" si="2"/>
        <v>8984.8100000000013</v>
      </c>
      <c r="G59" s="218">
        <f t="shared" si="3"/>
        <v>8707.4550000000017</v>
      </c>
      <c r="H59" s="111">
        <f t="shared" si="4"/>
        <v>8430.1</v>
      </c>
      <c r="I59" s="291">
        <f>1.3*4267</f>
        <v>5547.1</v>
      </c>
      <c r="J59" s="272">
        <v>2883</v>
      </c>
      <c r="K59" s="111">
        <f t="shared" si="5"/>
        <v>7144.1525423728817</v>
      </c>
    </row>
    <row r="60" spans="1:11" ht="12.75" x14ac:dyDescent="0.2">
      <c r="A60" s="710"/>
      <c r="B60" s="14" t="s">
        <v>235</v>
      </c>
      <c r="C60" s="7" t="s">
        <v>94</v>
      </c>
      <c r="D60" s="261" t="s">
        <v>282</v>
      </c>
      <c r="E60" s="218">
        <f t="shared" si="1"/>
        <v>9816.5</v>
      </c>
      <c r="F60" s="218">
        <f t="shared" si="2"/>
        <v>8116.1</v>
      </c>
      <c r="G60" s="218">
        <f t="shared" si="3"/>
        <v>7903.55</v>
      </c>
      <c r="H60" s="111">
        <f t="shared" si="4"/>
        <v>7691</v>
      </c>
      <c r="I60" s="291">
        <f>1.3*3270</f>
        <v>4251</v>
      </c>
      <c r="J60" s="272">
        <v>3440</v>
      </c>
      <c r="K60" s="111">
        <f t="shared" si="5"/>
        <v>6517.7966101694919</v>
      </c>
    </row>
    <row r="61" spans="1:11" ht="12.75" x14ac:dyDescent="0.2">
      <c r="A61" s="710"/>
      <c r="B61" s="14" t="s">
        <v>236</v>
      </c>
      <c r="C61" s="7" t="s">
        <v>98</v>
      </c>
      <c r="D61" s="261" t="s">
        <v>282</v>
      </c>
      <c r="E61" s="218">
        <f t="shared" si="1"/>
        <v>11532.5</v>
      </c>
      <c r="F61" s="218">
        <f t="shared" si="2"/>
        <v>9374.5</v>
      </c>
      <c r="G61" s="218">
        <f t="shared" si="3"/>
        <v>9104.75</v>
      </c>
      <c r="H61" s="111">
        <f t="shared" si="4"/>
        <v>8835</v>
      </c>
      <c r="I61" s="291">
        <f>1.3*4150</f>
        <v>5395</v>
      </c>
      <c r="J61" s="272">
        <v>3440</v>
      </c>
      <c r="K61" s="111">
        <f t="shared" si="5"/>
        <v>7487.2881355932204</v>
      </c>
    </row>
    <row r="62" spans="1:11" ht="12.75" x14ac:dyDescent="0.2">
      <c r="A62" s="710"/>
      <c r="B62" s="14" t="s">
        <v>237</v>
      </c>
      <c r="C62" s="7" t="s">
        <v>95</v>
      </c>
      <c r="D62" s="261" t="s">
        <v>283</v>
      </c>
      <c r="E62" s="218">
        <f t="shared" si="1"/>
        <v>12419.150000000001</v>
      </c>
      <c r="F62" s="218">
        <f t="shared" si="2"/>
        <v>10257.510000000002</v>
      </c>
      <c r="G62" s="218">
        <f t="shared" si="3"/>
        <v>9987.3050000000003</v>
      </c>
      <c r="H62" s="111">
        <f t="shared" si="4"/>
        <v>9717.1</v>
      </c>
      <c r="I62" s="291">
        <f>1.3*4157</f>
        <v>5404.1</v>
      </c>
      <c r="J62" s="272">
        <v>4313</v>
      </c>
      <c r="K62" s="111">
        <f t="shared" si="5"/>
        <v>8234.8305084745771</v>
      </c>
    </row>
    <row r="63" spans="1:11" ht="13.5" thickBot="1" x14ac:dyDescent="0.25">
      <c r="A63" s="718"/>
      <c r="B63" s="173" t="s">
        <v>238</v>
      </c>
      <c r="C63" s="174" t="s">
        <v>99</v>
      </c>
      <c r="D63" s="256" t="s">
        <v>283</v>
      </c>
      <c r="E63" s="218">
        <f t="shared" si="1"/>
        <v>13706.150000000001</v>
      </c>
      <c r="F63" s="218">
        <f t="shared" si="2"/>
        <v>11201.310000000001</v>
      </c>
      <c r="G63" s="218">
        <f t="shared" si="3"/>
        <v>10888.205000000002</v>
      </c>
      <c r="H63" s="111">
        <f t="shared" si="4"/>
        <v>10575.1</v>
      </c>
      <c r="I63" s="291">
        <f>1.3*4817</f>
        <v>6262.1</v>
      </c>
      <c r="J63" s="272">
        <v>4313</v>
      </c>
      <c r="K63" s="111">
        <f t="shared" si="5"/>
        <v>8961.9491525423728</v>
      </c>
    </row>
    <row r="64" spans="1:11" ht="13.5" thickTop="1" x14ac:dyDescent="0.2">
      <c r="A64" s="717" t="s">
        <v>139</v>
      </c>
      <c r="B64" s="160" t="s">
        <v>478</v>
      </c>
      <c r="C64" s="161" t="s">
        <v>9</v>
      </c>
      <c r="D64" s="260"/>
      <c r="E64" s="218">
        <f t="shared" si="1"/>
        <v>4290</v>
      </c>
      <c r="F64" s="218">
        <f t="shared" si="2"/>
        <v>3146.0000000000005</v>
      </c>
      <c r="G64" s="218">
        <f t="shared" si="3"/>
        <v>3003</v>
      </c>
      <c r="H64" s="111">
        <f t="shared" si="4"/>
        <v>2860</v>
      </c>
      <c r="I64" s="291">
        <f>1.3*2200</f>
        <v>2860</v>
      </c>
      <c r="J64" s="272"/>
      <c r="K64" s="111">
        <f t="shared" si="5"/>
        <v>2423.7288135593221</v>
      </c>
    </row>
    <row r="65" spans="1:11" ht="12.75" x14ac:dyDescent="0.2">
      <c r="A65" s="710"/>
      <c r="B65" s="14" t="s">
        <v>479</v>
      </c>
      <c r="C65" s="8" t="s">
        <v>0</v>
      </c>
      <c r="D65" s="262"/>
      <c r="E65" s="218">
        <f t="shared" si="1"/>
        <v>4719</v>
      </c>
      <c r="F65" s="218">
        <f t="shared" si="2"/>
        <v>3460.6000000000004</v>
      </c>
      <c r="G65" s="218">
        <f t="shared" si="3"/>
        <v>3303.3</v>
      </c>
      <c r="H65" s="111">
        <f t="shared" si="4"/>
        <v>3146</v>
      </c>
      <c r="I65" s="291">
        <f>1.3*2420</f>
        <v>3146</v>
      </c>
      <c r="J65" s="272"/>
      <c r="K65" s="111">
        <f t="shared" si="5"/>
        <v>2666.1016949152545</v>
      </c>
    </row>
    <row r="66" spans="1:11" ht="12.75" x14ac:dyDescent="0.2">
      <c r="A66" s="710"/>
      <c r="B66" s="14" t="s">
        <v>480</v>
      </c>
      <c r="C66" s="8" t="s">
        <v>15</v>
      </c>
      <c r="D66" s="262"/>
      <c r="E66" s="218">
        <f t="shared" si="1"/>
        <v>5362.5</v>
      </c>
      <c r="F66" s="218">
        <f t="shared" si="2"/>
        <v>3932.5000000000005</v>
      </c>
      <c r="G66" s="218">
        <f t="shared" si="3"/>
        <v>3753.75</v>
      </c>
      <c r="H66" s="111">
        <f t="shared" si="4"/>
        <v>3575</v>
      </c>
      <c r="I66" s="291">
        <f>1.3*2750</f>
        <v>3575</v>
      </c>
      <c r="J66" s="272"/>
      <c r="K66" s="111">
        <f t="shared" si="5"/>
        <v>3029.6610169491528</v>
      </c>
    </row>
    <row r="67" spans="1:11" ht="12.75" x14ac:dyDescent="0.2">
      <c r="A67" s="710"/>
      <c r="B67" s="14" t="s">
        <v>307</v>
      </c>
      <c r="C67" s="8" t="s">
        <v>14</v>
      </c>
      <c r="D67" s="262"/>
      <c r="E67" s="218">
        <f t="shared" si="1"/>
        <v>6006</v>
      </c>
      <c r="F67" s="218">
        <f t="shared" si="2"/>
        <v>4404.4000000000005</v>
      </c>
      <c r="G67" s="218">
        <f t="shared" si="3"/>
        <v>4204.2</v>
      </c>
      <c r="H67" s="111">
        <f t="shared" si="4"/>
        <v>4004</v>
      </c>
      <c r="I67" s="291">
        <f>1.3*3080</f>
        <v>4004</v>
      </c>
      <c r="J67" s="272"/>
      <c r="K67" s="111">
        <f t="shared" si="5"/>
        <v>3393.2203389830511</v>
      </c>
    </row>
    <row r="68" spans="1:11" ht="12.75" x14ac:dyDescent="0.2">
      <c r="A68" s="710"/>
      <c r="B68" s="14" t="s">
        <v>481</v>
      </c>
      <c r="C68" s="8" t="s">
        <v>14</v>
      </c>
      <c r="D68" s="262"/>
      <c r="E68" s="218">
        <f t="shared" si="1"/>
        <v>5148</v>
      </c>
      <c r="F68" s="218">
        <f t="shared" si="2"/>
        <v>3775.2000000000003</v>
      </c>
      <c r="G68" s="218">
        <f t="shared" si="3"/>
        <v>3603.6000000000004</v>
      </c>
      <c r="H68" s="111">
        <f t="shared" si="4"/>
        <v>3432</v>
      </c>
      <c r="I68" s="291">
        <f>1.3*2640</f>
        <v>3432</v>
      </c>
      <c r="J68" s="272"/>
      <c r="K68" s="111">
        <f t="shared" ref="K68:K99" si="6">H68/1.18</f>
        <v>2908.4745762711864</v>
      </c>
    </row>
    <row r="69" spans="1:11" ht="12.75" x14ac:dyDescent="0.2">
      <c r="A69" s="710"/>
      <c r="B69" s="14" t="s">
        <v>381</v>
      </c>
      <c r="C69" s="7" t="s">
        <v>76</v>
      </c>
      <c r="D69" s="277"/>
      <c r="E69" s="218">
        <f t="shared" ref="E69:E132" si="7">(I69*1.5)+J69</f>
        <v>11583</v>
      </c>
      <c r="F69" s="218">
        <f t="shared" ref="F69:F132" si="8">(I69*1.1)+J69</f>
        <v>8494.2000000000007</v>
      </c>
      <c r="G69" s="218">
        <f t="shared" ref="G69:G132" si="9">(I69*1.05)+J69</f>
        <v>8108.1</v>
      </c>
      <c r="H69" s="111">
        <f t="shared" ref="H69:H132" si="10">I69+J69</f>
        <v>7722</v>
      </c>
      <c r="I69" s="291">
        <f>1.3*5940</f>
        <v>7722</v>
      </c>
      <c r="J69" s="272"/>
      <c r="K69" s="111">
        <f t="shared" si="6"/>
        <v>6544.0677966101703</v>
      </c>
    </row>
    <row r="70" spans="1:11" ht="12.75" x14ac:dyDescent="0.2">
      <c r="A70" s="710"/>
      <c r="B70" s="14" t="s">
        <v>482</v>
      </c>
      <c r="C70" s="7" t="s">
        <v>76</v>
      </c>
      <c r="D70" s="277"/>
      <c r="E70" s="218">
        <f t="shared" si="7"/>
        <v>9824.1</v>
      </c>
      <c r="F70" s="218">
        <f t="shared" si="8"/>
        <v>7204.3400000000011</v>
      </c>
      <c r="G70" s="218">
        <f t="shared" si="9"/>
        <v>6876.8700000000008</v>
      </c>
      <c r="H70" s="111">
        <f t="shared" si="10"/>
        <v>6549.4000000000005</v>
      </c>
      <c r="I70" s="291">
        <f>1.3*5038</f>
        <v>6549.4000000000005</v>
      </c>
      <c r="J70" s="272"/>
      <c r="K70" s="111">
        <f t="shared" si="6"/>
        <v>5550.3389830508486</v>
      </c>
    </row>
    <row r="71" spans="1:11" ht="12.75" x14ac:dyDescent="0.2">
      <c r="A71" s="710"/>
      <c r="B71" s="14" t="s">
        <v>239</v>
      </c>
      <c r="C71" s="7" t="s">
        <v>101</v>
      </c>
      <c r="D71" s="261" t="s">
        <v>281</v>
      </c>
      <c r="E71" s="218">
        <f t="shared" si="7"/>
        <v>9916.6500000000015</v>
      </c>
      <c r="F71" s="218">
        <f t="shared" si="8"/>
        <v>8041.0100000000011</v>
      </c>
      <c r="G71" s="218">
        <f t="shared" si="9"/>
        <v>7806.5550000000003</v>
      </c>
      <c r="H71" s="111">
        <f t="shared" si="10"/>
        <v>7572.1</v>
      </c>
      <c r="I71" s="291">
        <f>1.3*3607</f>
        <v>4689.1000000000004</v>
      </c>
      <c r="J71" s="272">
        <v>2883</v>
      </c>
      <c r="K71" s="111">
        <f t="shared" si="6"/>
        <v>6417.0338983050851</v>
      </c>
    </row>
    <row r="72" spans="1:11" ht="12.75" x14ac:dyDescent="0.2">
      <c r="A72" s="710"/>
      <c r="B72" s="14" t="s">
        <v>483</v>
      </c>
      <c r="C72" s="7" t="s">
        <v>101</v>
      </c>
      <c r="D72" s="261" t="s">
        <v>281</v>
      </c>
      <c r="E72" s="218">
        <f t="shared" si="7"/>
        <v>9058.6500000000015</v>
      </c>
      <c r="F72" s="218">
        <f t="shared" si="8"/>
        <v>7411.81</v>
      </c>
      <c r="G72" s="218">
        <f t="shared" si="9"/>
        <v>7205.9550000000008</v>
      </c>
      <c r="H72" s="111">
        <f t="shared" si="10"/>
        <v>7000.1</v>
      </c>
      <c r="I72" s="291">
        <f>1.3*3167</f>
        <v>4117.1000000000004</v>
      </c>
      <c r="J72" s="272">
        <v>2883</v>
      </c>
      <c r="K72" s="111">
        <f t="shared" si="6"/>
        <v>5932.2881355932213</v>
      </c>
    </row>
    <row r="73" spans="1:11" ht="12.75" x14ac:dyDescent="0.2">
      <c r="A73" s="710"/>
      <c r="B73" s="14" t="s">
        <v>240</v>
      </c>
      <c r="C73" s="7" t="s">
        <v>102</v>
      </c>
      <c r="D73" s="261" t="s">
        <v>282</v>
      </c>
      <c r="E73" s="218">
        <f t="shared" si="7"/>
        <v>10352.75</v>
      </c>
      <c r="F73" s="218">
        <f t="shared" si="8"/>
        <v>8509.35</v>
      </c>
      <c r="G73" s="218">
        <f t="shared" si="9"/>
        <v>8278.9249999999993</v>
      </c>
      <c r="H73" s="111">
        <f t="shared" si="10"/>
        <v>8048.5</v>
      </c>
      <c r="I73" s="291">
        <f>1.3*3545</f>
        <v>4608.5</v>
      </c>
      <c r="J73" s="272">
        <v>3440</v>
      </c>
      <c r="K73" s="111">
        <f t="shared" si="6"/>
        <v>6820.7627118644068</v>
      </c>
    </row>
    <row r="74" spans="1:11" ht="12.75" x14ac:dyDescent="0.2">
      <c r="A74" s="710"/>
      <c r="B74" s="14" t="s">
        <v>484</v>
      </c>
      <c r="C74" s="7" t="s">
        <v>102</v>
      </c>
      <c r="D74" s="261" t="s">
        <v>282</v>
      </c>
      <c r="E74" s="218">
        <f t="shared" si="7"/>
        <v>9280.25</v>
      </c>
      <c r="F74" s="218">
        <f t="shared" si="8"/>
        <v>7722.85</v>
      </c>
      <c r="G74" s="218">
        <f t="shared" si="9"/>
        <v>7528.1750000000002</v>
      </c>
      <c r="H74" s="111">
        <f t="shared" si="10"/>
        <v>7333.5</v>
      </c>
      <c r="I74" s="291">
        <f>1.3*2995</f>
        <v>3893.5</v>
      </c>
      <c r="J74" s="272">
        <v>3440</v>
      </c>
      <c r="K74" s="111">
        <f t="shared" si="6"/>
        <v>6214.8305084745762</v>
      </c>
    </row>
    <row r="75" spans="1:11" ht="12.75" x14ac:dyDescent="0.2">
      <c r="A75" s="710"/>
      <c r="B75" s="14" t="s">
        <v>241</v>
      </c>
      <c r="C75" s="7" t="s">
        <v>103</v>
      </c>
      <c r="D75" s="261" t="s">
        <v>283</v>
      </c>
      <c r="E75" s="218">
        <f t="shared" si="7"/>
        <v>16280.150000000001</v>
      </c>
      <c r="F75" s="218">
        <f t="shared" si="8"/>
        <v>13088.910000000002</v>
      </c>
      <c r="G75" s="218">
        <f t="shared" si="9"/>
        <v>12690.005000000001</v>
      </c>
      <c r="H75" s="111">
        <f t="shared" si="10"/>
        <v>12291.1</v>
      </c>
      <c r="I75" s="291">
        <f>1.3*6137</f>
        <v>7978.1</v>
      </c>
      <c r="J75" s="272">
        <v>4313</v>
      </c>
      <c r="K75" s="111">
        <f t="shared" si="6"/>
        <v>10416.186440677968</v>
      </c>
    </row>
    <row r="76" spans="1:11" ht="12.75" x14ac:dyDescent="0.2">
      <c r="A76" s="710"/>
      <c r="B76" s="14" t="s">
        <v>485</v>
      </c>
      <c r="C76" s="7" t="s">
        <v>103</v>
      </c>
      <c r="D76" s="261" t="s">
        <v>283</v>
      </c>
      <c r="E76" s="218">
        <f t="shared" si="7"/>
        <v>14778.650000000001</v>
      </c>
      <c r="F76" s="218">
        <f t="shared" si="8"/>
        <v>11987.810000000001</v>
      </c>
      <c r="G76" s="218">
        <f t="shared" si="9"/>
        <v>11638.955000000002</v>
      </c>
      <c r="H76" s="111">
        <f t="shared" si="10"/>
        <v>11290.1</v>
      </c>
      <c r="I76" s="291">
        <f>1.3*5367</f>
        <v>6977.1</v>
      </c>
      <c r="J76" s="272">
        <v>4313</v>
      </c>
      <c r="K76" s="111">
        <f t="shared" si="6"/>
        <v>9567.8813559322043</v>
      </c>
    </row>
    <row r="77" spans="1:11" ht="12.75" customHeight="1" x14ac:dyDescent="0.2">
      <c r="A77" s="710"/>
      <c r="B77" s="14" t="s">
        <v>242</v>
      </c>
      <c r="C77" s="7" t="s">
        <v>100</v>
      </c>
      <c r="D77" s="261" t="s">
        <v>290</v>
      </c>
      <c r="E77" s="218">
        <f t="shared" si="7"/>
        <v>21941.4</v>
      </c>
      <c r="F77" s="218">
        <f t="shared" si="8"/>
        <v>18534.36</v>
      </c>
      <c r="G77" s="218">
        <f t="shared" si="9"/>
        <v>18108.480000000003</v>
      </c>
      <c r="H77" s="111">
        <f t="shared" si="10"/>
        <v>17682.599999999999</v>
      </c>
      <c r="I77" s="291">
        <f>1.3*6552</f>
        <v>8517.6</v>
      </c>
      <c r="J77" s="272">
        <v>9165</v>
      </c>
      <c r="K77" s="111">
        <f t="shared" si="6"/>
        <v>14985.254237288134</v>
      </c>
    </row>
    <row r="78" spans="1:11" ht="15" customHeight="1" thickBot="1" x14ac:dyDescent="0.25">
      <c r="A78" s="718"/>
      <c r="B78" s="173" t="s">
        <v>486</v>
      </c>
      <c r="C78" s="174" t="s">
        <v>100</v>
      </c>
      <c r="D78" s="256" t="s">
        <v>290</v>
      </c>
      <c r="E78" s="218">
        <f t="shared" si="7"/>
        <v>20439.900000000001</v>
      </c>
      <c r="F78" s="218">
        <f t="shared" si="8"/>
        <v>17433.260000000002</v>
      </c>
      <c r="G78" s="218">
        <f t="shared" si="9"/>
        <v>17057.43</v>
      </c>
      <c r="H78" s="111">
        <f t="shared" si="10"/>
        <v>16681.599999999999</v>
      </c>
      <c r="I78" s="291">
        <f>1.3*5782</f>
        <v>7516.6</v>
      </c>
      <c r="J78" s="272">
        <v>9165</v>
      </c>
      <c r="K78" s="111">
        <f t="shared" si="6"/>
        <v>14136.949152542373</v>
      </c>
    </row>
    <row r="79" spans="1:11" ht="13.5" thickTop="1" x14ac:dyDescent="0.2">
      <c r="A79" s="717" t="s">
        <v>161</v>
      </c>
      <c r="B79" s="160" t="s">
        <v>409</v>
      </c>
      <c r="C79" s="161" t="s">
        <v>13</v>
      </c>
      <c r="D79" s="260"/>
      <c r="E79" s="218">
        <f t="shared" si="7"/>
        <v>5898.75</v>
      </c>
      <c r="F79" s="218">
        <f t="shared" si="8"/>
        <v>4325.75</v>
      </c>
      <c r="G79" s="218">
        <f t="shared" si="9"/>
        <v>4129.125</v>
      </c>
      <c r="H79" s="111">
        <f t="shared" si="10"/>
        <v>3932.5</v>
      </c>
      <c r="I79" s="291">
        <f>1.3*3025</f>
        <v>3932.5</v>
      </c>
      <c r="J79" s="272"/>
      <c r="K79" s="111">
        <f t="shared" si="6"/>
        <v>3332.6271186440681</v>
      </c>
    </row>
    <row r="80" spans="1:11" ht="12.75" x14ac:dyDescent="0.2">
      <c r="A80" s="710"/>
      <c r="B80" s="14" t="s">
        <v>410</v>
      </c>
      <c r="C80" s="7" t="s">
        <v>75</v>
      </c>
      <c r="D80" s="277"/>
      <c r="E80" s="218">
        <f t="shared" si="7"/>
        <v>11154</v>
      </c>
      <c r="F80" s="218">
        <f t="shared" si="8"/>
        <v>8179.6</v>
      </c>
      <c r="G80" s="218">
        <f t="shared" si="9"/>
        <v>7807.8</v>
      </c>
      <c r="H80" s="111">
        <f t="shared" si="10"/>
        <v>7436</v>
      </c>
      <c r="I80" s="291">
        <f>1.3*5720</f>
        <v>7436</v>
      </c>
      <c r="J80" s="272"/>
      <c r="K80" s="111">
        <f t="shared" si="6"/>
        <v>6301.6949152542375</v>
      </c>
    </row>
    <row r="81" spans="1:11" ht="14.25" customHeight="1" thickBot="1" x14ac:dyDescent="0.25">
      <c r="A81" s="718"/>
      <c r="B81" s="173" t="s">
        <v>303</v>
      </c>
      <c r="C81" s="174" t="s">
        <v>92</v>
      </c>
      <c r="D81" s="256" t="s">
        <v>291</v>
      </c>
      <c r="E81" s="218">
        <f t="shared" si="7"/>
        <v>7975.2999999999993</v>
      </c>
      <c r="F81" s="218">
        <f t="shared" si="8"/>
        <v>6168.8200000000006</v>
      </c>
      <c r="G81" s="218">
        <f t="shared" si="9"/>
        <v>5943.01</v>
      </c>
      <c r="H81" s="111">
        <f t="shared" si="10"/>
        <v>5717.2</v>
      </c>
      <c r="I81" s="291">
        <f>1.3*3474</f>
        <v>4516.2</v>
      </c>
      <c r="J81" s="272">
        <v>1201</v>
      </c>
      <c r="K81" s="111">
        <f t="shared" si="6"/>
        <v>4845.0847457627124</v>
      </c>
    </row>
    <row r="82" spans="1:11" ht="13.5" thickTop="1" x14ac:dyDescent="0.2">
      <c r="A82" s="719" t="s">
        <v>153</v>
      </c>
      <c r="B82" s="201" t="s">
        <v>487</v>
      </c>
      <c r="C82" s="202" t="s">
        <v>12</v>
      </c>
      <c r="D82" s="265"/>
      <c r="E82" s="218">
        <f t="shared" si="7"/>
        <v>5362.5</v>
      </c>
      <c r="F82" s="218">
        <f t="shared" si="8"/>
        <v>3932.5000000000005</v>
      </c>
      <c r="G82" s="218">
        <f t="shared" si="9"/>
        <v>3753.75</v>
      </c>
      <c r="H82" s="111">
        <f t="shared" si="10"/>
        <v>3575</v>
      </c>
      <c r="I82" s="291">
        <f>1.3*2750</f>
        <v>3575</v>
      </c>
      <c r="J82" s="272"/>
      <c r="K82" s="111">
        <f t="shared" si="6"/>
        <v>3029.6610169491528</v>
      </c>
    </row>
    <row r="83" spans="1:11" ht="12.75" x14ac:dyDescent="0.2">
      <c r="A83" s="713"/>
      <c r="B83" s="48" t="s">
        <v>488</v>
      </c>
      <c r="C83" s="40"/>
      <c r="D83" s="259"/>
      <c r="E83" s="218">
        <f t="shared" si="7"/>
        <v>6971.25</v>
      </c>
      <c r="F83" s="218">
        <f t="shared" si="8"/>
        <v>5112.25</v>
      </c>
      <c r="G83" s="218">
        <f t="shared" si="9"/>
        <v>4879.875</v>
      </c>
      <c r="H83" s="111">
        <f t="shared" si="10"/>
        <v>4647.5</v>
      </c>
      <c r="I83" s="291">
        <f>1.3*3575</f>
        <v>4647.5</v>
      </c>
      <c r="J83" s="272"/>
      <c r="K83" s="111">
        <f t="shared" si="6"/>
        <v>3938.5593220338983</v>
      </c>
    </row>
    <row r="84" spans="1:11" ht="12.75" x14ac:dyDescent="0.2">
      <c r="A84" s="713"/>
      <c r="B84" s="48" t="s">
        <v>489</v>
      </c>
      <c r="C84" s="52" t="s">
        <v>75</v>
      </c>
      <c r="D84" s="280"/>
      <c r="E84" s="218">
        <f t="shared" si="7"/>
        <v>13942.5</v>
      </c>
      <c r="F84" s="218">
        <f t="shared" si="8"/>
        <v>10224.5</v>
      </c>
      <c r="G84" s="218">
        <f t="shared" si="9"/>
        <v>9759.75</v>
      </c>
      <c r="H84" s="111">
        <f t="shared" si="10"/>
        <v>9295</v>
      </c>
      <c r="I84" s="291">
        <f>1.3*7150</f>
        <v>9295</v>
      </c>
      <c r="J84" s="272"/>
      <c r="K84" s="111">
        <f t="shared" si="6"/>
        <v>7877.1186440677966</v>
      </c>
    </row>
    <row r="85" spans="1:11" ht="15" customHeight="1" x14ac:dyDescent="0.2">
      <c r="A85" s="713"/>
      <c r="B85" s="48" t="s">
        <v>490</v>
      </c>
      <c r="C85" s="52" t="s">
        <v>90</v>
      </c>
      <c r="D85" s="261" t="s">
        <v>291</v>
      </c>
      <c r="E85" s="218">
        <f t="shared" si="7"/>
        <v>10549.3</v>
      </c>
      <c r="F85" s="218">
        <f t="shared" si="8"/>
        <v>8056.42</v>
      </c>
      <c r="G85" s="218">
        <f t="shared" si="9"/>
        <v>7744.81</v>
      </c>
      <c r="H85" s="111">
        <f t="shared" si="10"/>
        <v>7433.2</v>
      </c>
      <c r="I85" s="291">
        <f>1.3*4794</f>
        <v>6232.2</v>
      </c>
      <c r="J85" s="272">
        <v>1201</v>
      </c>
      <c r="K85" s="111">
        <f t="shared" si="6"/>
        <v>6299.3220338983056</v>
      </c>
    </row>
    <row r="86" spans="1:11" ht="13.5" thickBot="1" x14ac:dyDescent="0.25">
      <c r="A86" s="720"/>
      <c r="B86" s="134" t="s">
        <v>491</v>
      </c>
      <c r="C86" s="174" t="s">
        <v>91</v>
      </c>
      <c r="D86" s="281"/>
      <c r="E86" s="218">
        <f t="shared" si="7"/>
        <v>18232.5</v>
      </c>
      <c r="F86" s="218">
        <f t="shared" si="8"/>
        <v>13370.500000000002</v>
      </c>
      <c r="G86" s="218">
        <f t="shared" si="9"/>
        <v>12762.75</v>
      </c>
      <c r="H86" s="111">
        <f t="shared" si="10"/>
        <v>12155</v>
      </c>
      <c r="I86" s="291">
        <f>1.3*9350</f>
        <v>12155</v>
      </c>
      <c r="J86" s="272"/>
      <c r="K86" s="111">
        <f t="shared" si="6"/>
        <v>10300.84745762712</v>
      </c>
    </row>
    <row r="87" spans="1:11" ht="13.5" thickTop="1" x14ac:dyDescent="0.2">
      <c r="A87" s="717" t="s">
        <v>154</v>
      </c>
      <c r="B87" s="160" t="s">
        <v>492</v>
      </c>
      <c r="C87" s="181" t="s">
        <v>62</v>
      </c>
      <c r="D87" s="278"/>
      <c r="E87" s="218">
        <f t="shared" si="7"/>
        <v>4582.5</v>
      </c>
      <c r="F87" s="218">
        <f t="shared" si="8"/>
        <v>3360.5000000000005</v>
      </c>
      <c r="G87" s="218">
        <f t="shared" si="9"/>
        <v>3207.75</v>
      </c>
      <c r="H87" s="111">
        <f t="shared" si="10"/>
        <v>3055</v>
      </c>
      <c r="I87" s="291">
        <f>1.3*2350</f>
        <v>3055</v>
      </c>
      <c r="J87" s="272"/>
      <c r="K87" s="111">
        <f t="shared" si="6"/>
        <v>2588.9830508474579</v>
      </c>
    </row>
    <row r="88" spans="1:11" s="26" customFormat="1" ht="18" customHeight="1" thickBot="1" x14ac:dyDescent="0.25">
      <c r="A88" s="718"/>
      <c r="B88" s="173" t="s">
        <v>493</v>
      </c>
      <c r="C88" s="174" t="s">
        <v>104</v>
      </c>
      <c r="D88" s="256" t="s">
        <v>285</v>
      </c>
      <c r="E88" s="218">
        <f t="shared" si="7"/>
        <v>5007.5</v>
      </c>
      <c r="F88" s="218">
        <f t="shared" si="8"/>
        <v>3993.5</v>
      </c>
      <c r="G88" s="218">
        <f t="shared" si="9"/>
        <v>3866.75</v>
      </c>
      <c r="H88" s="111">
        <f t="shared" si="10"/>
        <v>3740</v>
      </c>
      <c r="I88" s="291">
        <f>1.3*1950</f>
        <v>2535</v>
      </c>
      <c r="J88" s="272">
        <v>1205</v>
      </c>
      <c r="K88" s="111">
        <f t="shared" si="6"/>
        <v>3169.4915254237289</v>
      </c>
    </row>
    <row r="89" spans="1:11" ht="13.5" thickTop="1" x14ac:dyDescent="0.2">
      <c r="A89" s="717" t="s">
        <v>155</v>
      </c>
      <c r="B89" s="160" t="s">
        <v>29</v>
      </c>
      <c r="C89" s="181" t="s">
        <v>63</v>
      </c>
      <c r="D89" s="278"/>
      <c r="E89" s="218">
        <f t="shared" si="7"/>
        <v>2944.5</v>
      </c>
      <c r="F89" s="218">
        <f t="shared" si="8"/>
        <v>2159.3000000000002</v>
      </c>
      <c r="G89" s="218">
        <f t="shared" si="9"/>
        <v>2061.15</v>
      </c>
      <c r="H89" s="111">
        <f t="shared" si="10"/>
        <v>1963</v>
      </c>
      <c r="I89" s="291">
        <f>1.3*1510</f>
        <v>1963</v>
      </c>
      <c r="J89" s="272"/>
      <c r="K89" s="111">
        <f t="shared" si="6"/>
        <v>1663.5593220338983</v>
      </c>
    </row>
    <row r="90" spans="1:11" ht="12.75" x14ac:dyDescent="0.2">
      <c r="A90" s="710"/>
      <c r="B90" s="14" t="s">
        <v>30</v>
      </c>
      <c r="C90" s="7" t="s">
        <v>64</v>
      </c>
      <c r="D90" s="277"/>
      <c r="E90" s="218">
        <f t="shared" si="7"/>
        <v>3159</v>
      </c>
      <c r="F90" s="218">
        <f t="shared" si="8"/>
        <v>2316.6000000000004</v>
      </c>
      <c r="G90" s="218">
        <f t="shared" si="9"/>
        <v>2211.3000000000002</v>
      </c>
      <c r="H90" s="111">
        <f t="shared" si="10"/>
        <v>2106</v>
      </c>
      <c r="I90" s="291">
        <f>1.3*1620</f>
        <v>2106</v>
      </c>
      <c r="J90" s="272"/>
      <c r="K90" s="111">
        <f t="shared" si="6"/>
        <v>1784.7457627118645</v>
      </c>
    </row>
    <row r="91" spans="1:11" ht="12.75" x14ac:dyDescent="0.2">
      <c r="A91" s="710"/>
      <c r="B91" s="14" t="s">
        <v>384</v>
      </c>
      <c r="C91" s="7" t="s">
        <v>77</v>
      </c>
      <c r="D91" s="277"/>
      <c r="E91" s="218">
        <f t="shared" si="7"/>
        <v>9789</v>
      </c>
      <c r="F91" s="218">
        <f t="shared" si="8"/>
        <v>7178.6</v>
      </c>
      <c r="G91" s="218">
        <f t="shared" si="9"/>
        <v>6852.3</v>
      </c>
      <c r="H91" s="111">
        <f t="shared" si="10"/>
        <v>6526</v>
      </c>
      <c r="I91" s="291">
        <f>1.3*5020</f>
        <v>6526</v>
      </c>
      <c r="J91" s="272"/>
      <c r="K91" s="111">
        <f t="shared" si="6"/>
        <v>5530.5084745762715</v>
      </c>
    </row>
    <row r="92" spans="1:11" ht="17.25" customHeight="1" x14ac:dyDescent="0.2">
      <c r="A92" s="710"/>
      <c r="B92" s="14" t="s">
        <v>317</v>
      </c>
      <c r="C92" s="7" t="s">
        <v>104</v>
      </c>
      <c r="D92" s="261" t="s">
        <v>285</v>
      </c>
      <c r="E92" s="218">
        <f t="shared" si="7"/>
        <v>7074.5</v>
      </c>
      <c r="F92" s="218">
        <f t="shared" si="8"/>
        <v>5509.3</v>
      </c>
      <c r="G92" s="218">
        <f t="shared" si="9"/>
        <v>5313.6500000000005</v>
      </c>
      <c r="H92" s="111">
        <f t="shared" si="10"/>
        <v>5118</v>
      </c>
      <c r="I92" s="291">
        <f>1.3*3010</f>
        <v>3913</v>
      </c>
      <c r="J92" s="272">
        <v>1205</v>
      </c>
      <c r="K92" s="111">
        <f t="shared" si="6"/>
        <v>4337.2881355932204</v>
      </c>
    </row>
    <row r="93" spans="1:11" ht="24" customHeight="1" thickBot="1" x14ac:dyDescent="0.25">
      <c r="A93" s="718"/>
      <c r="B93" s="173" t="s">
        <v>318</v>
      </c>
      <c r="C93" s="174" t="s">
        <v>365</v>
      </c>
      <c r="D93" s="256" t="s">
        <v>286</v>
      </c>
      <c r="E93" s="218">
        <f t="shared" si="7"/>
        <v>7471.5</v>
      </c>
      <c r="F93" s="218">
        <f t="shared" si="8"/>
        <v>5823.1</v>
      </c>
      <c r="G93" s="218">
        <f t="shared" si="9"/>
        <v>5617.05</v>
      </c>
      <c r="H93" s="111">
        <f t="shared" si="10"/>
        <v>5411</v>
      </c>
      <c r="I93" s="291">
        <f>1.3*3170</f>
        <v>4121</v>
      </c>
      <c r="J93" s="272">
        <v>1290</v>
      </c>
      <c r="K93" s="111">
        <f t="shared" si="6"/>
        <v>4585.593220338983</v>
      </c>
    </row>
    <row r="94" spans="1:11" ht="13.5" thickTop="1" x14ac:dyDescent="0.2">
      <c r="A94" s="717" t="s">
        <v>156</v>
      </c>
      <c r="B94" s="160" t="s">
        <v>31</v>
      </c>
      <c r="C94" s="181" t="s">
        <v>65</v>
      </c>
      <c r="D94" s="278"/>
      <c r="E94" s="218">
        <f t="shared" si="7"/>
        <v>1472.25</v>
      </c>
      <c r="F94" s="218">
        <f t="shared" si="8"/>
        <v>1079.6500000000001</v>
      </c>
      <c r="G94" s="218">
        <f t="shared" si="9"/>
        <v>1030.575</v>
      </c>
      <c r="H94" s="111">
        <f t="shared" si="10"/>
        <v>981.5</v>
      </c>
      <c r="I94" s="291">
        <f>1.3*755</f>
        <v>981.5</v>
      </c>
      <c r="J94" s="272"/>
      <c r="K94" s="111">
        <f t="shared" si="6"/>
        <v>831.77966101694915</v>
      </c>
    </row>
    <row r="95" spans="1:11" ht="12.75" x14ac:dyDescent="0.2">
      <c r="A95" s="710"/>
      <c r="B95" s="14" t="s">
        <v>494</v>
      </c>
      <c r="C95" s="7" t="s">
        <v>86</v>
      </c>
      <c r="D95" s="277"/>
      <c r="E95" s="218">
        <f t="shared" si="7"/>
        <v>2359.5</v>
      </c>
      <c r="F95" s="218">
        <f t="shared" si="8"/>
        <v>1730.3000000000002</v>
      </c>
      <c r="G95" s="218">
        <f t="shared" si="9"/>
        <v>1651.65</v>
      </c>
      <c r="H95" s="111">
        <f t="shared" si="10"/>
        <v>1573</v>
      </c>
      <c r="I95" s="291">
        <f>1.3*1210</f>
        <v>1573</v>
      </c>
      <c r="J95" s="272"/>
      <c r="K95" s="111">
        <f t="shared" si="6"/>
        <v>1333.0508474576272</v>
      </c>
    </row>
    <row r="96" spans="1:11" ht="24" customHeight="1" thickBot="1" x14ac:dyDescent="0.25">
      <c r="A96" s="718"/>
      <c r="B96" s="173" t="s">
        <v>495</v>
      </c>
      <c r="C96" s="174" t="s">
        <v>105</v>
      </c>
      <c r="D96" s="256" t="s">
        <v>291</v>
      </c>
      <c r="E96" s="218">
        <f t="shared" si="7"/>
        <v>3470.8</v>
      </c>
      <c r="F96" s="218">
        <f t="shared" si="8"/>
        <v>2865.5200000000004</v>
      </c>
      <c r="G96" s="218">
        <f t="shared" si="9"/>
        <v>2789.86</v>
      </c>
      <c r="H96" s="111">
        <f t="shared" si="10"/>
        <v>2714.2</v>
      </c>
      <c r="I96" s="291">
        <f>1.3*1164</f>
        <v>1513.2</v>
      </c>
      <c r="J96" s="272">
        <v>1201</v>
      </c>
      <c r="K96" s="111">
        <f t="shared" si="6"/>
        <v>2300.1694915254238</v>
      </c>
    </row>
    <row r="97" spans="1:11" ht="12.75" customHeight="1" thickTop="1" x14ac:dyDescent="0.2">
      <c r="A97" s="724" t="s">
        <v>460</v>
      </c>
      <c r="B97" s="160" t="s">
        <v>496</v>
      </c>
      <c r="C97" s="181" t="s">
        <v>66</v>
      </c>
      <c r="D97" s="278"/>
      <c r="E97" s="218">
        <f t="shared" si="7"/>
        <v>3919.5</v>
      </c>
      <c r="F97" s="218">
        <f t="shared" si="8"/>
        <v>2874.3</v>
      </c>
      <c r="G97" s="218">
        <f t="shared" si="9"/>
        <v>2743.65</v>
      </c>
      <c r="H97" s="111">
        <f t="shared" si="10"/>
        <v>2613</v>
      </c>
      <c r="I97" s="291">
        <f>1.3*2010</f>
        <v>2613</v>
      </c>
      <c r="J97" s="272"/>
      <c r="K97" s="111">
        <f t="shared" si="6"/>
        <v>2214.406779661017</v>
      </c>
    </row>
    <row r="98" spans="1:11" ht="18" customHeight="1" thickBot="1" x14ac:dyDescent="0.25">
      <c r="A98" s="725"/>
      <c r="B98" s="173" t="s">
        <v>497</v>
      </c>
      <c r="C98" s="174" t="s">
        <v>106</v>
      </c>
      <c r="D98" s="256" t="s">
        <v>292</v>
      </c>
      <c r="E98" s="218">
        <f t="shared" si="7"/>
        <v>7238.35</v>
      </c>
      <c r="F98" s="218">
        <f t="shared" si="8"/>
        <v>5723.59</v>
      </c>
      <c r="G98" s="218">
        <f t="shared" si="9"/>
        <v>5534.2450000000008</v>
      </c>
      <c r="H98" s="111">
        <f t="shared" si="10"/>
        <v>5344.9</v>
      </c>
      <c r="I98" s="291">
        <f>1.3*2913</f>
        <v>3786.9</v>
      </c>
      <c r="J98" s="272">
        <v>1558</v>
      </c>
      <c r="K98" s="111">
        <f t="shared" si="6"/>
        <v>4529.5762711864409</v>
      </c>
    </row>
    <row r="99" spans="1:11" ht="13.5" thickTop="1" x14ac:dyDescent="0.2">
      <c r="A99" s="717" t="s">
        <v>157</v>
      </c>
      <c r="B99" s="160" t="s">
        <v>411</v>
      </c>
      <c r="C99" s="181" t="s">
        <v>67</v>
      </c>
      <c r="D99" s="278"/>
      <c r="E99" s="218">
        <f t="shared" si="7"/>
        <v>3919.5</v>
      </c>
      <c r="F99" s="218">
        <f t="shared" si="8"/>
        <v>2874.3</v>
      </c>
      <c r="G99" s="218">
        <f t="shared" si="9"/>
        <v>2743.65</v>
      </c>
      <c r="H99" s="111">
        <f t="shared" si="10"/>
        <v>2613</v>
      </c>
      <c r="I99" s="291">
        <f>1.3*2010</f>
        <v>2613</v>
      </c>
      <c r="J99" s="272"/>
      <c r="K99" s="111">
        <f t="shared" si="6"/>
        <v>2214.406779661017</v>
      </c>
    </row>
    <row r="100" spans="1:11" ht="12.75" x14ac:dyDescent="0.2">
      <c r="A100" s="710"/>
      <c r="B100" s="14" t="s">
        <v>412</v>
      </c>
      <c r="C100" s="7" t="s">
        <v>68</v>
      </c>
      <c r="D100" s="277"/>
      <c r="E100" s="218">
        <f t="shared" si="7"/>
        <v>4221.75</v>
      </c>
      <c r="F100" s="218">
        <f t="shared" si="8"/>
        <v>3095.9500000000003</v>
      </c>
      <c r="G100" s="218">
        <f t="shared" si="9"/>
        <v>2955.2249999999999</v>
      </c>
      <c r="H100" s="111">
        <f t="shared" si="10"/>
        <v>2814.5</v>
      </c>
      <c r="I100" s="291">
        <f>1.3*2165</f>
        <v>2814.5</v>
      </c>
      <c r="J100" s="272"/>
      <c r="K100" s="111">
        <f t="shared" ref="K100:K134" si="11">H100/1.18</f>
        <v>2385.1694915254238</v>
      </c>
    </row>
    <row r="101" spans="1:11" ht="12.75" x14ac:dyDescent="0.2">
      <c r="A101" s="710"/>
      <c r="B101" s="14" t="s">
        <v>413</v>
      </c>
      <c r="C101" s="7" t="s">
        <v>69</v>
      </c>
      <c r="D101" s="277"/>
      <c r="E101" s="218">
        <f t="shared" si="7"/>
        <v>4485</v>
      </c>
      <c r="F101" s="218">
        <f t="shared" si="8"/>
        <v>3289.0000000000005</v>
      </c>
      <c r="G101" s="218">
        <f t="shared" si="9"/>
        <v>3139.5</v>
      </c>
      <c r="H101" s="111">
        <f t="shared" si="10"/>
        <v>2990</v>
      </c>
      <c r="I101" s="291">
        <f>1.3*2300</f>
        <v>2990</v>
      </c>
      <c r="J101" s="272"/>
      <c r="K101" s="111">
        <f t="shared" si="11"/>
        <v>2533.898305084746</v>
      </c>
    </row>
    <row r="102" spans="1:11" ht="12.75" x14ac:dyDescent="0.2">
      <c r="A102" s="710"/>
      <c r="B102" s="14" t="s">
        <v>414</v>
      </c>
      <c r="C102" s="7" t="s">
        <v>84</v>
      </c>
      <c r="D102" s="277"/>
      <c r="E102" s="218">
        <f t="shared" si="7"/>
        <v>7936.5</v>
      </c>
      <c r="F102" s="218">
        <f t="shared" si="8"/>
        <v>5820.1</v>
      </c>
      <c r="G102" s="218">
        <f t="shared" si="9"/>
        <v>5555.55</v>
      </c>
      <c r="H102" s="111">
        <f t="shared" si="10"/>
        <v>5291</v>
      </c>
      <c r="I102" s="291">
        <f>1.3*4070</f>
        <v>5291</v>
      </c>
      <c r="J102" s="272"/>
      <c r="K102" s="111">
        <f t="shared" si="11"/>
        <v>4483.8983050847464</v>
      </c>
    </row>
    <row r="103" spans="1:11" s="26" customFormat="1" ht="12.75" x14ac:dyDescent="0.2">
      <c r="A103" s="710"/>
      <c r="B103" s="14" t="s">
        <v>36</v>
      </c>
      <c r="C103" s="7" t="s">
        <v>104</v>
      </c>
      <c r="D103" s="261" t="s">
        <v>293</v>
      </c>
      <c r="E103" s="218">
        <f t="shared" si="7"/>
        <v>5648.1</v>
      </c>
      <c r="F103" s="218">
        <f t="shared" si="8"/>
        <v>4453.1400000000003</v>
      </c>
      <c r="G103" s="218">
        <f t="shared" si="9"/>
        <v>4303.7700000000004</v>
      </c>
      <c r="H103" s="111">
        <f t="shared" si="10"/>
        <v>4154.3999999999996</v>
      </c>
      <c r="I103" s="291">
        <f>1.3*2298</f>
        <v>2987.4</v>
      </c>
      <c r="J103" s="272">
        <v>1167</v>
      </c>
      <c r="K103" s="111">
        <f t="shared" si="11"/>
        <v>3520.6779661016949</v>
      </c>
    </row>
    <row r="104" spans="1:11" ht="17.25" customHeight="1" x14ac:dyDescent="0.2">
      <c r="A104" s="710"/>
      <c r="B104" s="14" t="s">
        <v>37</v>
      </c>
      <c r="C104" s="7" t="s">
        <v>106</v>
      </c>
      <c r="D104" s="266" t="s">
        <v>292</v>
      </c>
      <c r="E104" s="218">
        <f t="shared" si="7"/>
        <v>8096.35</v>
      </c>
      <c r="F104" s="218">
        <f t="shared" si="8"/>
        <v>6352.7900000000009</v>
      </c>
      <c r="G104" s="218">
        <f t="shared" si="9"/>
        <v>6134.8450000000012</v>
      </c>
      <c r="H104" s="111">
        <f t="shared" si="10"/>
        <v>5916.9000000000005</v>
      </c>
      <c r="I104" s="291">
        <f>1.3*3353</f>
        <v>4358.9000000000005</v>
      </c>
      <c r="J104" s="272">
        <v>1558</v>
      </c>
      <c r="K104" s="111">
        <f t="shared" si="11"/>
        <v>5014.3220338983056</v>
      </c>
    </row>
    <row r="105" spans="1:11" ht="13.5" thickBot="1" x14ac:dyDescent="0.25">
      <c r="A105" s="718"/>
      <c r="B105" s="173" t="s">
        <v>38</v>
      </c>
      <c r="C105" s="174" t="s">
        <v>107</v>
      </c>
      <c r="D105" s="256" t="s">
        <v>294</v>
      </c>
      <c r="E105" s="218">
        <f t="shared" si="7"/>
        <v>9910.1500000000015</v>
      </c>
      <c r="F105" s="218">
        <f t="shared" si="8"/>
        <v>7831.7100000000009</v>
      </c>
      <c r="G105" s="218">
        <f t="shared" si="9"/>
        <v>7571.9050000000007</v>
      </c>
      <c r="H105" s="111">
        <f t="shared" si="10"/>
        <v>7312.1</v>
      </c>
      <c r="I105" s="291">
        <f>1.3*3997</f>
        <v>5196.1000000000004</v>
      </c>
      <c r="J105" s="272">
        <v>2116</v>
      </c>
      <c r="K105" s="111">
        <f t="shared" si="11"/>
        <v>6196.6949152542384</v>
      </c>
    </row>
    <row r="106" spans="1:11" ht="13.5" thickTop="1" x14ac:dyDescent="0.2">
      <c r="A106" s="717" t="s">
        <v>158</v>
      </c>
      <c r="B106" s="160" t="s">
        <v>425</v>
      </c>
      <c r="C106" s="181" t="s">
        <v>10</v>
      </c>
      <c r="D106" s="278"/>
      <c r="E106" s="218">
        <f t="shared" si="7"/>
        <v>3968.25</v>
      </c>
      <c r="F106" s="218">
        <f t="shared" si="8"/>
        <v>2910.05</v>
      </c>
      <c r="G106" s="218">
        <f t="shared" si="9"/>
        <v>2777.7750000000001</v>
      </c>
      <c r="H106" s="111">
        <f t="shared" si="10"/>
        <v>2645.5</v>
      </c>
      <c r="I106" s="291">
        <f>1.3*2035</f>
        <v>2645.5</v>
      </c>
      <c r="J106" s="272"/>
      <c r="K106" s="111">
        <f t="shared" si="11"/>
        <v>2241.9491525423732</v>
      </c>
    </row>
    <row r="107" spans="1:11" ht="15" customHeight="1" thickBot="1" x14ac:dyDescent="0.25">
      <c r="A107" s="718"/>
      <c r="B107" s="173" t="s">
        <v>253</v>
      </c>
      <c r="C107" s="174" t="s">
        <v>105</v>
      </c>
      <c r="D107" s="256" t="s">
        <v>291</v>
      </c>
      <c r="E107" s="218">
        <f t="shared" si="7"/>
        <v>7331.8</v>
      </c>
      <c r="F107" s="218">
        <f t="shared" si="8"/>
        <v>5696.920000000001</v>
      </c>
      <c r="G107" s="218">
        <f t="shared" si="9"/>
        <v>5492.56</v>
      </c>
      <c r="H107" s="111">
        <f t="shared" si="10"/>
        <v>5288.2000000000007</v>
      </c>
      <c r="I107" s="291">
        <f>1.3*3144</f>
        <v>4087.2000000000003</v>
      </c>
      <c r="J107" s="272">
        <v>1201</v>
      </c>
      <c r="K107" s="111">
        <f t="shared" si="11"/>
        <v>4481.5254237288145</v>
      </c>
    </row>
    <row r="108" spans="1:11" ht="13.5" thickTop="1" x14ac:dyDescent="0.2">
      <c r="A108" s="717" t="s">
        <v>162</v>
      </c>
      <c r="B108" s="160" t="s">
        <v>39</v>
      </c>
      <c r="C108" s="181" t="s">
        <v>92</v>
      </c>
      <c r="D108" s="267" t="s">
        <v>281</v>
      </c>
      <c r="E108" s="218">
        <f t="shared" si="7"/>
        <v>8211.0000000000018</v>
      </c>
      <c r="F108" s="218">
        <f t="shared" si="8"/>
        <v>6790.2000000000007</v>
      </c>
      <c r="G108" s="218">
        <f t="shared" si="9"/>
        <v>6612.6000000000013</v>
      </c>
      <c r="H108" s="111">
        <f t="shared" si="10"/>
        <v>6435.0000000000009</v>
      </c>
      <c r="I108" s="291">
        <v>3552.0000000000009</v>
      </c>
      <c r="J108" s="272">
        <v>2883</v>
      </c>
      <c r="K108" s="111">
        <f t="shared" si="11"/>
        <v>5453.3898305084758</v>
      </c>
    </row>
    <row r="109" spans="1:11" ht="12.75" x14ac:dyDescent="0.2">
      <c r="A109" s="710"/>
      <c r="B109" s="14" t="s">
        <v>40</v>
      </c>
      <c r="C109" s="16" t="s">
        <v>108</v>
      </c>
      <c r="D109" s="266" t="s">
        <v>281</v>
      </c>
      <c r="E109" s="218">
        <f t="shared" si="7"/>
        <v>11847.150000000001</v>
      </c>
      <c r="F109" s="218">
        <f t="shared" si="8"/>
        <v>9456.7100000000009</v>
      </c>
      <c r="G109" s="218">
        <f t="shared" si="9"/>
        <v>9157.9050000000007</v>
      </c>
      <c r="H109" s="111">
        <f t="shared" si="10"/>
        <v>8859.1</v>
      </c>
      <c r="I109" s="291">
        <f>1.3*4597</f>
        <v>5976.1</v>
      </c>
      <c r="J109" s="272">
        <v>2883</v>
      </c>
      <c r="K109" s="111">
        <f t="shared" si="11"/>
        <v>7507.7118644067805</v>
      </c>
    </row>
    <row r="110" spans="1:11" ht="12.75" x14ac:dyDescent="0.2">
      <c r="A110" s="710"/>
      <c r="B110" s="14" t="s">
        <v>41</v>
      </c>
      <c r="C110" s="7" t="s">
        <v>255</v>
      </c>
      <c r="D110" s="266" t="s">
        <v>282</v>
      </c>
      <c r="E110" s="218">
        <f t="shared" si="7"/>
        <v>10781.75</v>
      </c>
      <c r="F110" s="218">
        <f t="shared" si="8"/>
        <v>8823.9500000000007</v>
      </c>
      <c r="G110" s="218">
        <f t="shared" si="9"/>
        <v>8579.2250000000004</v>
      </c>
      <c r="H110" s="111">
        <f t="shared" si="10"/>
        <v>8334.5</v>
      </c>
      <c r="I110" s="291">
        <f>1.3*3765</f>
        <v>4894.5</v>
      </c>
      <c r="J110" s="272">
        <v>3440</v>
      </c>
      <c r="K110" s="111">
        <f t="shared" si="11"/>
        <v>7063.1355932203396</v>
      </c>
    </row>
    <row r="111" spans="1:11" ht="12.75" x14ac:dyDescent="0.2">
      <c r="A111" s="710"/>
      <c r="B111" s="14" t="s">
        <v>254</v>
      </c>
      <c r="C111" s="7" t="s">
        <v>109</v>
      </c>
      <c r="D111" s="266" t="s">
        <v>282</v>
      </c>
      <c r="E111" s="218">
        <f t="shared" si="7"/>
        <v>15500.75</v>
      </c>
      <c r="F111" s="218">
        <f t="shared" si="8"/>
        <v>12284.550000000001</v>
      </c>
      <c r="G111" s="218">
        <f t="shared" si="9"/>
        <v>11882.525</v>
      </c>
      <c r="H111" s="111">
        <f t="shared" si="10"/>
        <v>11480.5</v>
      </c>
      <c r="I111" s="291">
        <f>1.3*6185</f>
        <v>8040.5</v>
      </c>
      <c r="J111" s="272">
        <v>3440</v>
      </c>
      <c r="K111" s="111">
        <f t="shared" si="11"/>
        <v>9729.2372881355932</v>
      </c>
    </row>
    <row r="112" spans="1:11" ht="13.5" thickBot="1" x14ac:dyDescent="0.25">
      <c r="A112" s="718"/>
      <c r="B112" s="173" t="s">
        <v>401</v>
      </c>
      <c r="C112" s="174" t="s">
        <v>82</v>
      </c>
      <c r="D112" s="282"/>
      <c r="E112" s="218">
        <f t="shared" si="7"/>
        <v>10939.5</v>
      </c>
      <c r="F112" s="218">
        <f t="shared" si="8"/>
        <v>8022.3000000000011</v>
      </c>
      <c r="G112" s="218">
        <f t="shared" si="9"/>
        <v>7657.6500000000005</v>
      </c>
      <c r="H112" s="111">
        <f t="shared" si="10"/>
        <v>7293</v>
      </c>
      <c r="I112" s="291">
        <f>1.3*5610</f>
        <v>7293</v>
      </c>
      <c r="J112" s="272"/>
      <c r="K112" s="111">
        <f t="shared" si="11"/>
        <v>6180.5084745762715</v>
      </c>
    </row>
    <row r="113" spans="1:11" ht="13.5" thickTop="1" x14ac:dyDescent="0.2">
      <c r="A113" s="717" t="s">
        <v>140</v>
      </c>
      <c r="B113" s="160" t="s">
        <v>184</v>
      </c>
      <c r="C113" s="181" t="s">
        <v>70</v>
      </c>
      <c r="D113" s="283"/>
      <c r="E113" s="218">
        <f t="shared" si="7"/>
        <v>8911.5</v>
      </c>
      <c r="F113" s="218">
        <f t="shared" si="8"/>
        <v>6535.1</v>
      </c>
      <c r="G113" s="218">
        <f t="shared" si="9"/>
        <v>6238.05</v>
      </c>
      <c r="H113" s="111">
        <f t="shared" si="10"/>
        <v>5941</v>
      </c>
      <c r="I113" s="291">
        <f>1.3*4570</f>
        <v>5941</v>
      </c>
      <c r="J113" s="272"/>
      <c r="K113" s="111">
        <f t="shared" si="11"/>
        <v>5034.7457627118647</v>
      </c>
    </row>
    <row r="114" spans="1:11" ht="12.75" x14ac:dyDescent="0.2">
      <c r="A114" s="710"/>
      <c r="B114" s="14" t="s">
        <v>401</v>
      </c>
      <c r="C114" s="7" t="s">
        <v>82</v>
      </c>
      <c r="D114" s="284"/>
      <c r="E114" s="218">
        <f t="shared" si="7"/>
        <v>10939.5</v>
      </c>
      <c r="F114" s="218">
        <f t="shared" si="8"/>
        <v>8022.3000000000011</v>
      </c>
      <c r="G114" s="218">
        <f t="shared" si="9"/>
        <v>7657.6500000000005</v>
      </c>
      <c r="H114" s="111">
        <f t="shared" si="10"/>
        <v>7293</v>
      </c>
      <c r="I114" s="291">
        <f>1.3*5610</f>
        <v>7293</v>
      </c>
      <c r="J114" s="272"/>
      <c r="K114" s="111">
        <f t="shared" si="11"/>
        <v>6180.5084745762715</v>
      </c>
    </row>
    <row r="115" spans="1:11" ht="14.25" customHeight="1" x14ac:dyDescent="0.2">
      <c r="A115" s="710"/>
      <c r="B115" s="14" t="s">
        <v>256</v>
      </c>
      <c r="C115" s="7" t="s">
        <v>110</v>
      </c>
      <c r="D115" s="266" t="s">
        <v>295</v>
      </c>
      <c r="E115" s="218">
        <f t="shared" si="7"/>
        <v>25395.1</v>
      </c>
      <c r="F115" s="218">
        <f t="shared" si="8"/>
        <v>21870.54</v>
      </c>
      <c r="G115" s="218">
        <f t="shared" si="9"/>
        <v>21429.97</v>
      </c>
      <c r="H115" s="111">
        <f t="shared" si="10"/>
        <v>20989.4</v>
      </c>
      <c r="I115" s="291">
        <f>1.3*6778</f>
        <v>8811.4</v>
      </c>
      <c r="J115" s="272">
        <v>12178</v>
      </c>
      <c r="K115" s="111">
        <f t="shared" si="11"/>
        <v>17787.627118644072</v>
      </c>
    </row>
    <row r="116" spans="1:11" ht="16.5" customHeight="1" thickBot="1" x14ac:dyDescent="0.25">
      <c r="A116" s="718"/>
      <c r="B116" s="173" t="s">
        <v>257</v>
      </c>
      <c r="C116" s="174" t="s">
        <v>111</v>
      </c>
      <c r="D116" s="268" t="s">
        <v>295</v>
      </c>
      <c r="E116" s="218">
        <f t="shared" si="7"/>
        <v>32151.85</v>
      </c>
      <c r="F116" s="218">
        <f t="shared" si="8"/>
        <v>26825.49</v>
      </c>
      <c r="G116" s="218">
        <f t="shared" si="9"/>
        <v>26159.695</v>
      </c>
      <c r="H116" s="111">
        <f t="shared" si="10"/>
        <v>25493.9</v>
      </c>
      <c r="I116" s="291">
        <f>1.3*10243</f>
        <v>13315.9</v>
      </c>
      <c r="J116" s="272">
        <v>12178</v>
      </c>
      <c r="K116" s="111">
        <f t="shared" si="11"/>
        <v>21605.000000000004</v>
      </c>
    </row>
    <row r="117" spans="1:11" ht="13.5" thickTop="1" x14ac:dyDescent="0.2">
      <c r="A117" s="717" t="s">
        <v>141</v>
      </c>
      <c r="B117" s="160" t="s">
        <v>498</v>
      </c>
      <c r="C117" s="181" t="s">
        <v>354</v>
      </c>
      <c r="D117" s="283"/>
      <c r="E117" s="218">
        <f t="shared" si="7"/>
        <v>16087.5</v>
      </c>
      <c r="F117" s="218">
        <f t="shared" si="8"/>
        <v>11797.500000000002</v>
      </c>
      <c r="G117" s="218">
        <f t="shared" si="9"/>
        <v>11261.25</v>
      </c>
      <c r="H117" s="111">
        <f t="shared" si="10"/>
        <v>10725</v>
      </c>
      <c r="I117" s="291">
        <f>1.3*8250</f>
        <v>10725</v>
      </c>
      <c r="J117" s="272"/>
      <c r="K117" s="111">
        <f t="shared" si="11"/>
        <v>9088.9830508474588</v>
      </c>
    </row>
    <row r="118" spans="1:11" ht="12.75" x14ac:dyDescent="0.2">
      <c r="A118" s="710"/>
      <c r="B118" s="14" t="s">
        <v>499</v>
      </c>
      <c r="C118" s="7" t="s">
        <v>85</v>
      </c>
      <c r="D118" s="284"/>
      <c r="E118" s="218">
        <f t="shared" si="7"/>
        <v>16731</v>
      </c>
      <c r="F118" s="218">
        <f t="shared" si="8"/>
        <v>12269.400000000001</v>
      </c>
      <c r="G118" s="218">
        <f t="shared" si="9"/>
        <v>11711.7</v>
      </c>
      <c r="H118" s="111">
        <f t="shared" si="10"/>
        <v>11154</v>
      </c>
      <c r="I118" s="291">
        <f>1.3*8580</f>
        <v>11154</v>
      </c>
      <c r="J118" s="272"/>
      <c r="K118" s="111">
        <f t="shared" si="11"/>
        <v>9452.5423728813566</v>
      </c>
    </row>
    <row r="119" spans="1:11" ht="12.75" x14ac:dyDescent="0.2">
      <c r="A119" s="710"/>
      <c r="B119" s="14" t="s">
        <v>500</v>
      </c>
      <c r="C119" s="7" t="s">
        <v>92</v>
      </c>
      <c r="D119" s="266" t="s">
        <v>281</v>
      </c>
      <c r="E119" s="218">
        <f t="shared" si="7"/>
        <v>12276.150000000001</v>
      </c>
      <c r="F119" s="218">
        <f t="shared" si="8"/>
        <v>9771.3100000000013</v>
      </c>
      <c r="G119" s="218">
        <f t="shared" si="9"/>
        <v>9458.2050000000017</v>
      </c>
      <c r="H119" s="111">
        <f t="shared" si="10"/>
        <v>9145.1</v>
      </c>
      <c r="I119" s="291">
        <f>1.3*4817</f>
        <v>6262.1</v>
      </c>
      <c r="J119" s="272">
        <v>2883</v>
      </c>
      <c r="K119" s="111">
        <f t="shared" si="11"/>
        <v>7750.0847457627124</v>
      </c>
    </row>
    <row r="120" spans="1:11" ht="13.5" thickBot="1" x14ac:dyDescent="0.25">
      <c r="A120" s="718"/>
      <c r="B120" s="173" t="s">
        <v>501</v>
      </c>
      <c r="C120" s="174" t="s">
        <v>92</v>
      </c>
      <c r="D120" s="268" t="s">
        <v>281</v>
      </c>
      <c r="E120" s="218">
        <f t="shared" si="7"/>
        <v>18389.400000000001</v>
      </c>
      <c r="F120" s="218">
        <f t="shared" si="8"/>
        <v>14254.36</v>
      </c>
      <c r="G120" s="218">
        <f t="shared" si="9"/>
        <v>13737.480000000001</v>
      </c>
      <c r="H120" s="111">
        <f t="shared" si="10"/>
        <v>13220.6</v>
      </c>
      <c r="I120" s="291">
        <f>1.3*7952</f>
        <v>10337.6</v>
      </c>
      <c r="J120" s="272">
        <v>2883</v>
      </c>
      <c r="K120" s="111">
        <f t="shared" si="11"/>
        <v>11203.898305084747</v>
      </c>
    </row>
    <row r="121" spans="1:11" ht="13.5" thickTop="1" x14ac:dyDescent="0.2">
      <c r="A121" s="717" t="s">
        <v>142</v>
      </c>
      <c r="B121" s="160" t="s">
        <v>502</v>
      </c>
      <c r="C121" s="181" t="s">
        <v>73</v>
      </c>
      <c r="D121" s="283"/>
      <c r="E121" s="218">
        <f t="shared" si="7"/>
        <v>5265</v>
      </c>
      <c r="F121" s="218">
        <f t="shared" si="8"/>
        <v>3861.0000000000005</v>
      </c>
      <c r="G121" s="218">
        <f t="shared" si="9"/>
        <v>3685.5</v>
      </c>
      <c r="H121" s="111">
        <f t="shared" si="10"/>
        <v>3510</v>
      </c>
      <c r="I121" s="291">
        <f>1.3*2700</f>
        <v>3510</v>
      </c>
      <c r="J121" s="272"/>
      <c r="K121" s="111">
        <f t="shared" si="11"/>
        <v>2974.5762711864409</v>
      </c>
    </row>
    <row r="122" spans="1:11" ht="12.75" x14ac:dyDescent="0.2">
      <c r="A122" s="710"/>
      <c r="B122" s="14" t="s">
        <v>503</v>
      </c>
      <c r="C122" s="7" t="s">
        <v>72</v>
      </c>
      <c r="D122" s="284"/>
      <c r="E122" s="218">
        <f t="shared" si="7"/>
        <v>6503.25</v>
      </c>
      <c r="F122" s="218">
        <f t="shared" si="8"/>
        <v>4769.05</v>
      </c>
      <c r="G122" s="218">
        <f t="shared" si="9"/>
        <v>4552.2750000000005</v>
      </c>
      <c r="H122" s="111">
        <f t="shared" si="10"/>
        <v>4335.5</v>
      </c>
      <c r="I122" s="291">
        <f>1.3*3335</f>
        <v>4335.5</v>
      </c>
      <c r="J122" s="272"/>
      <c r="K122" s="111">
        <f t="shared" si="11"/>
        <v>3674.1525423728817</v>
      </c>
    </row>
    <row r="123" spans="1:11" ht="12.75" x14ac:dyDescent="0.2">
      <c r="A123" s="710"/>
      <c r="B123" s="14" t="s">
        <v>504</v>
      </c>
      <c r="C123" s="7" t="s">
        <v>71</v>
      </c>
      <c r="D123" s="284"/>
      <c r="E123" s="218">
        <f t="shared" si="7"/>
        <v>8862.75</v>
      </c>
      <c r="F123" s="218">
        <f t="shared" si="8"/>
        <v>6499.35</v>
      </c>
      <c r="G123" s="218">
        <f t="shared" si="9"/>
        <v>6203.9250000000002</v>
      </c>
      <c r="H123" s="111">
        <f t="shared" si="10"/>
        <v>5908.5</v>
      </c>
      <c r="I123" s="291">
        <f>1.3*4545</f>
        <v>5908.5</v>
      </c>
      <c r="J123" s="272"/>
      <c r="K123" s="111">
        <f t="shared" si="11"/>
        <v>5007.203389830509</v>
      </c>
    </row>
    <row r="124" spans="1:11" ht="12.75" x14ac:dyDescent="0.2">
      <c r="A124" s="710"/>
      <c r="B124" s="14" t="s">
        <v>505</v>
      </c>
      <c r="C124" s="7" t="s">
        <v>78</v>
      </c>
      <c r="D124" s="284"/>
      <c r="E124" s="218">
        <f t="shared" si="7"/>
        <v>11436.75</v>
      </c>
      <c r="F124" s="218">
        <f t="shared" si="8"/>
        <v>8386.9500000000007</v>
      </c>
      <c r="G124" s="218">
        <f t="shared" si="9"/>
        <v>8005.7250000000004</v>
      </c>
      <c r="H124" s="111">
        <f t="shared" si="10"/>
        <v>7624.5</v>
      </c>
      <c r="I124" s="291">
        <f>1.3*5865</f>
        <v>7624.5</v>
      </c>
      <c r="J124" s="272"/>
      <c r="K124" s="111">
        <f t="shared" si="11"/>
        <v>6461.4406779661022</v>
      </c>
    </row>
    <row r="125" spans="1:11" ht="12.75" x14ac:dyDescent="0.2">
      <c r="A125" s="710"/>
      <c r="B125" s="14" t="s">
        <v>506</v>
      </c>
      <c r="C125" s="7" t="s">
        <v>78</v>
      </c>
      <c r="D125" s="284"/>
      <c r="E125" s="218">
        <f t="shared" si="7"/>
        <v>16146</v>
      </c>
      <c r="F125" s="218">
        <f t="shared" si="8"/>
        <v>11840.400000000001</v>
      </c>
      <c r="G125" s="218">
        <f t="shared" si="9"/>
        <v>11302.2</v>
      </c>
      <c r="H125" s="111">
        <f t="shared" si="10"/>
        <v>10764</v>
      </c>
      <c r="I125" s="291">
        <f>1.3*8280</f>
        <v>10764</v>
      </c>
      <c r="J125" s="272"/>
      <c r="K125" s="111">
        <f t="shared" si="11"/>
        <v>9122.033898305086</v>
      </c>
    </row>
    <row r="126" spans="1:11" ht="12.75" x14ac:dyDescent="0.2">
      <c r="A126" s="710"/>
      <c r="B126" s="14" t="s">
        <v>507</v>
      </c>
      <c r="C126" s="7" t="s">
        <v>79</v>
      </c>
      <c r="D126" s="284"/>
      <c r="E126" s="218">
        <f t="shared" si="7"/>
        <v>11017.5</v>
      </c>
      <c r="F126" s="218">
        <f t="shared" si="8"/>
        <v>8079.5000000000009</v>
      </c>
      <c r="G126" s="218">
        <f t="shared" si="9"/>
        <v>7712.25</v>
      </c>
      <c r="H126" s="111">
        <f t="shared" si="10"/>
        <v>7345</v>
      </c>
      <c r="I126" s="291">
        <f>1.3*5650</f>
        <v>7345</v>
      </c>
      <c r="J126" s="272"/>
      <c r="K126" s="111">
        <f t="shared" si="11"/>
        <v>6224.5762711864409</v>
      </c>
    </row>
    <row r="127" spans="1:11" ht="12.75" x14ac:dyDescent="0.2">
      <c r="A127" s="710"/>
      <c r="B127" s="14" t="s">
        <v>508</v>
      </c>
      <c r="C127" s="7" t="s">
        <v>79</v>
      </c>
      <c r="D127" s="284"/>
      <c r="E127" s="218">
        <f t="shared" si="7"/>
        <v>11017.5</v>
      </c>
      <c r="F127" s="218">
        <f t="shared" si="8"/>
        <v>8079.5000000000009</v>
      </c>
      <c r="G127" s="218">
        <f t="shared" si="9"/>
        <v>7712.25</v>
      </c>
      <c r="H127" s="111">
        <f t="shared" si="10"/>
        <v>7345</v>
      </c>
      <c r="I127" s="291">
        <f>1.3*5650</f>
        <v>7345</v>
      </c>
      <c r="J127" s="272"/>
      <c r="K127" s="111">
        <f t="shared" si="11"/>
        <v>6224.5762711864409</v>
      </c>
    </row>
    <row r="128" spans="1:11" ht="12.75" x14ac:dyDescent="0.2">
      <c r="A128" s="710"/>
      <c r="B128" s="14" t="s">
        <v>509</v>
      </c>
      <c r="C128" s="7" t="s">
        <v>114</v>
      </c>
      <c r="D128" s="266" t="s">
        <v>296</v>
      </c>
      <c r="E128" s="218">
        <f t="shared" si="7"/>
        <v>8272.1500000000015</v>
      </c>
      <c r="F128" s="218">
        <f t="shared" si="8"/>
        <v>6453.7100000000009</v>
      </c>
      <c r="G128" s="218">
        <f t="shared" si="9"/>
        <v>6226.4050000000007</v>
      </c>
      <c r="H128" s="111">
        <f t="shared" si="10"/>
        <v>5999.1</v>
      </c>
      <c r="I128" s="291">
        <f>1.3*3497</f>
        <v>4546.1000000000004</v>
      </c>
      <c r="J128" s="272">
        <v>1453</v>
      </c>
      <c r="K128" s="111">
        <f t="shared" si="11"/>
        <v>5083.9830508474579</v>
      </c>
    </row>
    <row r="129" spans="1:11" ht="12.75" x14ac:dyDescent="0.2">
      <c r="A129" s="710"/>
      <c r="B129" s="14" t="s">
        <v>510</v>
      </c>
      <c r="C129" s="7" t="s">
        <v>113</v>
      </c>
      <c r="D129" s="266" t="s">
        <v>296</v>
      </c>
      <c r="E129" s="218">
        <f t="shared" si="7"/>
        <v>10280.650000000001</v>
      </c>
      <c r="F129" s="218">
        <f t="shared" si="8"/>
        <v>7926.6100000000006</v>
      </c>
      <c r="G129" s="218">
        <f t="shared" si="9"/>
        <v>7632.3550000000005</v>
      </c>
      <c r="H129" s="111">
        <f t="shared" si="10"/>
        <v>7338.1</v>
      </c>
      <c r="I129" s="291">
        <f>1.3*4527</f>
        <v>5885.1</v>
      </c>
      <c r="J129" s="272">
        <v>1453</v>
      </c>
      <c r="K129" s="111">
        <f t="shared" si="11"/>
        <v>6218.7288135593226</v>
      </c>
    </row>
    <row r="130" spans="1:11" ht="13.5" thickBot="1" x14ac:dyDescent="0.25">
      <c r="A130" s="718"/>
      <c r="B130" s="173" t="s">
        <v>511</v>
      </c>
      <c r="C130" s="174" t="s">
        <v>112</v>
      </c>
      <c r="D130" s="268" t="s">
        <v>296</v>
      </c>
      <c r="E130" s="218">
        <f t="shared" si="7"/>
        <v>12298.900000000001</v>
      </c>
      <c r="F130" s="218">
        <f t="shared" si="8"/>
        <v>9406.66</v>
      </c>
      <c r="G130" s="218">
        <f t="shared" si="9"/>
        <v>9045.130000000001</v>
      </c>
      <c r="H130" s="111">
        <f t="shared" si="10"/>
        <v>8683.6</v>
      </c>
      <c r="I130" s="291">
        <f>1.3*5562</f>
        <v>7230.6</v>
      </c>
      <c r="J130" s="272">
        <v>1453</v>
      </c>
      <c r="K130" s="111">
        <f t="shared" si="11"/>
        <v>7358.9830508474579</v>
      </c>
    </row>
    <row r="131" spans="1:11" ht="13.5" thickTop="1" x14ac:dyDescent="0.2">
      <c r="A131" s="719" t="s">
        <v>346</v>
      </c>
      <c r="B131" s="212" t="s">
        <v>356</v>
      </c>
      <c r="C131" s="183" t="s">
        <v>360</v>
      </c>
      <c r="D131" s="283"/>
      <c r="E131" s="218">
        <f t="shared" si="7"/>
        <v>9340.5</v>
      </c>
      <c r="F131" s="218">
        <f t="shared" si="8"/>
        <v>6849.7000000000007</v>
      </c>
      <c r="G131" s="218">
        <f t="shared" si="9"/>
        <v>6538.35</v>
      </c>
      <c r="H131" s="111">
        <f t="shared" si="10"/>
        <v>6227</v>
      </c>
      <c r="I131" s="291">
        <f>1.3*4790</f>
        <v>6227</v>
      </c>
      <c r="J131" s="272"/>
      <c r="K131" s="111">
        <f t="shared" si="11"/>
        <v>5277.1186440677966</v>
      </c>
    </row>
    <row r="132" spans="1:11" ht="12.75" x14ac:dyDescent="0.2">
      <c r="A132" s="713"/>
      <c r="B132" s="43" t="s">
        <v>357</v>
      </c>
      <c r="C132" s="35" t="s">
        <v>361</v>
      </c>
      <c r="D132" s="284"/>
      <c r="E132" s="218">
        <f t="shared" si="7"/>
        <v>0</v>
      </c>
      <c r="F132" s="218">
        <f t="shared" si="8"/>
        <v>0</v>
      </c>
      <c r="G132" s="218">
        <f t="shared" si="9"/>
        <v>0</v>
      </c>
      <c r="H132" s="111">
        <f t="shared" si="10"/>
        <v>0</v>
      </c>
      <c r="I132" s="291">
        <v>0</v>
      </c>
      <c r="J132" s="272"/>
      <c r="K132" s="111">
        <f t="shared" si="11"/>
        <v>0</v>
      </c>
    </row>
    <row r="133" spans="1:11" s="26" customFormat="1" ht="12.75" x14ac:dyDescent="0.2">
      <c r="A133" s="713"/>
      <c r="B133" s="43" t="s">
        <v>358</v>
      </c>
      <c r="C133" s="35" t="s">
        <v>362</v>
      </c>
      <c r="D133" s="277"/>
      <c r="E133" s="218">
        <f t="shared" ref="E133:E170" si="12">(I133*1.5)+J133</f>
        <v>0</v>
      </c>
      <c r="F133" s="218">
        <f t="shared" ref="F133:F170" si="13">(I133*1.1)+J133</f>
        <v>0</v>
      </c>
      <c r="G133" s="218">
        <f t="shared" ref="G133:G170" si="14">(I133*1.05)+J133</f>
        <v>0</v>
      </c>
      <c r="H133" s="111">
        <f t="shared" ref="H133:H170" si="15">I133+J133</f>
        <v>0</v>
      </c>
      <c r="I133" s="291">
        <v>0</v>
      </c>
      <c r="J133" s="272"/>
      <c r="K133" s="111">
        <f t="shared" si="11"/>
        <v>0</v>
      </c>
    </row>
    <row r="134" spans="1:11" s="26" customFormat="1" ht="13.5" thickBot="1" x14ac:dyDescent="0.25">
      <c r="A134" s="720"/>
      <c r="B134" s="214" t="s">
        <v>359</v>
      </c>
      <c r="C134" s="215" t="s">
        <v>363</v>
      </c>
      <c r="D134" s="285"/>
      <c r="E134" s="218">
        <f t="shared" si="12"/>
        <v>0</v>
      </c>
      <c r="F134" s="218">
        <f t="shared" si="13"/>
        <v>0</v>
      </c>
      <c r="G134" s="218">
        <f t="shared" si="14"/>
        <v>0</v>
      </c>
      <c r="H134" s="111">
        <f t="shared" si="15"/>
        <v>0</v>
      </c>
      <c r="I134" s="291">
        <v>0</v>
      </c>
      <c r="J134" s="272"/>
      <c r="K134" s="111">
        <f t="shared" si="11"/>
        <v>0</v>
      </c>
    </row>
    <row r="135" spans="1:11" ht="13.5" thickTop="1" x14ac:dyDescent="0.2">
      <c r="A135" s="717" t="s">
        <v>159</v>
      </c>
      <c r="B135" s="160" t="s">
        <v>426</v>
      </c>
      <c r="C135" s="181" t="s">
        <v>68</v>
      </c>
      <c r="D135" s="283"/>
      <c r="E135" s="218">
        <f t="shared" si="12"/>
        <v>3919.5</v>
      </c>
      <c r="F135" s="218">
        <f t="shared" si="13"/>
        <v>2874.3</v>
      </c>
      <c r="G135" s="218">
        <f t="shared" si="14"/>
        <v>2743.65</v>
      </c>
      <c r="H135" s="111">
        <f t="shared" si="15"/>
        <v>2613</v>
      </c>
      <c r="I135" s="291">
        <f>1.3*2010</f>
        <v>2613</v>
      </c>
      <c r="J135" s="272"/>
      <c r="K135" s="111">
        <f t="shared" ref="K135:K170" si="16">H135/1.18</f>
        <v>2214.406779661017</v>
      </c>
    </row>
    <row r="136" spans="1:11" ht="14.25" customHeight="1" thickBot="1" x14ac:dyDescent="0.25">
      <c r="A136" s="718"/>
      <c r="B136" s="173" t="s">
        <v>261</v>
      </c>
      <c r="C136" s="174" t="s">
        <v>115</v>
      </c>
      <c r="D136" s="268" t="s">
        <v>292</v>
      </c>
      <c r="E136" s="218">
        <f t="shared" si="12"/>
        <v>6916.6</v>
      </c>
      <c r="F136" s="218">
        <f t="shared" si="13"/>
        <v>5487.64</v>
      </c>
      <c r="G136" s="218">
        <f t="shared" si="14"/>
        <v>5309.02</v>
      </c>
      <c r="H136" s="111">
        <f t="shared" si="15"/>
        <v>5130.3999999999996</v>
      </c>
      <c r="I136" s="291">
        <f>1.3*2748</f>
        <v>3572.4</v>
      </c>
      <c r="J136" s="272">
        <v>1558</v>
      </c>
      <c r="K136" s="111">
        <f t="shared" si="16"/>
        <v>4347.796610169491</v>
      </c>
    </row>
    <row r="137" spans="1:11" ht="13.5" thickTop="1" x14ac:dyDescent="0.2">
      <c r="A137" s="717" t="s">
        <v>143</v>
      </c>
      <c r="B137" s="160" t="s">
        <v>44</v>
      </c>
      <c r="C137" s="181" t="s">
        <v>71</v>
      </c>
      <c r="D137" s="283"/>
      <c r="E137" s="218">
        <f t="shared" si="12"/>
        <v>9360</v>
      </c>
      <c r="F137" s="218">
        <f t="shared" si="13"/>
        <v>6864.0000000000009</v>
      </c>
      <c r="G137" s="218">
        <f t="shared" si="14"/>
        <v>6552</v>
      </c>
      <c r="H137" s="111">
        <f t="shared" si="15"/>
        <v>6240</v>
      </c>
      <c r="I137" s="291">
        <f>1.3*4800</f>
        <v>6240</v>
      </c>
      <c r="J137" s="272"/>
      <c r="K137" s="111">
        <f t="shared" si="16"/>
        <v>5288.1355932203396</v>
      </c>
    </row>
    <row r="138" spans="1:11" ht="12.75" x14ac:dyDescent="0.2">
      <c r="A138" s="710"/>
      <c r="B138" s="14" t="s">
        <v>401</v>
      </c>
      <c r="C138" s="7" t="s">
        <v>82</v>
      </c>
      <c r="D138" s="277"/>
      <c r="E138" s="218">
        <f t="shared" si="12"/>
        <v>10939.5</v>
      </c>
      <c r="F138" s="218">
        <f t="shared" si="13"/>
        <v>8022.3000000000011</v>
      </c>
      <c r="G138" s="218">
        <f t="shared" si="14"/>
        <v>7657.6500000000005</v>
      </c>
      <c r="H138" s="111">
        <f t="shared" si="15"/>
        <v>7293</v>
      </c>
      <c r="I138" s="291">
        <f>1.3*5610</f>
        <v>7293</v>
      </c>
      <c r="J138" s="272"/>
      <c r="K138" s="111">
        <f t="shared" si="16"/>
        <v>6180.5084745762715</v>
      </c>
    </row>
    <row r="139" spans="1:11" ht="13.5" thickBot="1" x14ac:dyDescent="0.25">
      <c r="A139" s="718"/>
      <c r="B139" s="173" t="s">
        <v>512</v>
      </c>
      <c r="C139" s="174" t="s">
        <v>112</v>
      </c>
      <c r="D139" s="268" t="s">
        <v>296</v>
      </c>
      <c r="E139" s="218">
        <f t="shared" si="12"/>
        <v>31769.65</v>
      </c>
      <c r="F139" s="218">
        <f t="shared" si="13"/>
        <v>23685.210000000003</v>
      </c>
      <c r="G139" s="218">
        <f t="shared" si="14"/>
        <v>22674.655000000002</v>
      </c>
      <c r="H139" s="111">
        <f t="shared" si="15"/>
        <v>21664.100000000002</v>
      </c>
      <c r="I139" s="291">
        <f>1.3*15547</f>
        <v>20211.100000000002</v>
      </c>
      <c r="J139" s="272">
        <v>1453</v>
      </c>
      <c r="K139" s="111">
        <f t="shared" si="16"/>
        <v>18359.406779661022</v>
      </c>
    </row>
    <row r="140" spans="1:11" ht="13.5" thickTop="1" x14ac:dyDescent="0.2">
      <c r="A140" s="721" t="s">
        <v>524</v>
      </c>
      <c r="B140" s="48" t="s">
        <v>525</v>
      </c>
      <c r="C140" s="239" t="s">
        <v>74</v>
      </c>
      <c r="D140" s="259"/>
      <c r="E140" s="218">
        <f t="shared" si="12"/>
        <v>2850</v>
      </c>
      <c r="F140" s="218">
        <f t="shared" si="13"/>
        <v>2090</v>
      </c>
      <c r="G140" s="218">
        <f t="shared" si="14"/>
        <v>1995</v>
      </c>
      <c r="H140" s="111">
        <f t="shared" si="15"/>
        <v>1900</v>
      </c>
      <c r="I140" s="291">
        <f>1900</f>
        <v>1900</v>
      </c>
      <c r="J140" s="272"/>
      <c r="K140" s="111">
        <f t="shared" si="16"/>
        <v>1610.1694915254238</v>
      </c>
    </row>
    <row r="141" spans="1:11" ht="12.75" x14ac:dyDescent="0.2">
      <c r="A141" s="722"/>
      <c r="B141" s="48" t="s">
        <v>531</v>
      </c>
      <c r="C141" s="239" t="s">
        <v>305</v>
      </c>
      <c r="D141" s="259" t="s">
        <v>534</v>
      </c>
      <c r="E141" s="218">
        <f t="shared" si="12"/>
        <v>4572</v>
      </c>
      <c r="F141" s="218">
        <f t="shared" si="13"/>
        <v>3642.4</v>
      </c>
      <c r="G141" s="218">
        <f t="shared" si="14"/>
        <v>3526.2000000000003</v>
      </c>
      <c r="H141" s="111">
        <f t="shared" si="15"/>
        <v>3410</v>
      </c>
      <c r="I141" s="291">
        <f>2324</f>
        <v>2324</v>
      </c>
      <c r="J141" s="272">
        <v>1086</v>
      </c>
      <c r="K141" s="111">
        <f t="shared" si="16"/>
        <v>2889.8305084745766</v>
      </c>
    </row>
    <row r="142" spans="1:11" ht="12.75" x14ac:dyDescent="0.2">
      <c r="A142" s="722"/>
      <c r="B142" s="48" t="s">
        <v>526</v>
      </c>
      <c r="C142" s="239" t="s">
        <v>529</v>
      </c>
      <c r="D142" s="259"/>
      <c r="E142" s="218">
        <f t="shared" si="12"/>
        <v>3975</v>
      </c>
      <c r="F142" s="218">
        <f t="shared" si="13"/>
        <v>2915.0000000000005</v>
      </c>
      <c r="G142" s="218">
        <f t="shared" si="14"/>
        <v>2782.5</v>
      </c>
      <c r="H142" s="111">
        <f t="shared" si="15"/>
        <v>2650</v>
      </c>
      <c r="I142" s="291">
        <f>2650</f>
        <v>2650</v>
      </c>
      <c r="J142" s="272"/>
      <c r="K142" s="111">
        <f t="shared" si="16"/>
        <v>2245.7627118644068</v>
      </c>
    </row>
    <row r="143" spans="1:11" ht="13.5" thickBot="1" x14ac:dyDescent="0.25">
      <c r="A143" s="723"/>
      <c r="B143" s="48" t="s">
        <v>530</v>
      </c>
      <c r="C143" s="239" t="s">
        <v>91</v>
      </c>
      <c r="D143" s="266" t="s">
        <v>287</v>
      </c>
      <c r="E143" s="218">
        <f t="shared" si="12"/>
        <v>10197.75</v>
      </c>
      <c r="F143" s="218">
        <f t="shared" si="13"/>
        <v>8115.1500000000005</v>
      </c>
      <c r="G143" s="218">
        <f t="shared" si="14"/>
        <v>7854.8249999999998</v>
      </c>
      <c r="H143" s="111">
        <f t="shared" si="15"/>
        <v>7594.5</v>
      </c>
      <c r="I143" s="291">
        <f>1.3*4005</f>
        <v>5206.5</v>
      </c>
      <c r="J143" s="272">
        <v>2388</v>
      </c>
      <c r="K143" s="111">
        <f t="shared" si="16"/>
        <v>6436.016949152543</v>
      </c>
    </row>
    <row r="144" spans="1:11" ht="13.5" thickTop="1" x14ac:dyDescent="0.2">
      <c r="A144" s="717" t="s">
        <v>144</v>
      </c>
      <c r="B144" s="160" t="s">
        <v>310</v>
      </c>
      <c r="C144" s="181" t="s">
        <v>1</v>
      </c>
      <c r="D144" s="283"/>
      <c r="E144" s="218">
        <f t="shared" si="12"/>
        <v>3900</v>
      </c>
      <c r="F144" s="218">
        <f t="shared" si="13"/>
        <v>2860.0000000000005</v>
      </c>
      <c r="G144" s="218">
        <f t="shared" si="14"/>
        <v>2730</v>
      </c>
      <c r="H144" s="111">
        <f t="shared" si="15"/>
        <v>2600</v>
      </c>
      <c r="I144" s="291">
        <f>1.3*2000</f>
        <v>2600</v>
      </c>
      <c r="J144" s="272"/>
      <c r="K144" s="111">
        <f t="shared" si="16"/>
        <v>2203.3898305084749</v>
      </c>
    </row>
    <row r="145" spans="1:11" ht="12.75" x14ac:dyDescent="0.2">
      <c r="A145" s="710"/>
      <c r="B145" s="14" t="s">
        <v>309</v>
      </c>
      <c r="C145" s="7" t="s">
        <v>1</v>
      </c>
      <c r="D145" s="284"/>
      <c r="E145" s="218">
        <f t="shared" si="12"/>
        <v>4641</v>
      </c>
      <c r="F145" s="218">
        <f t="shared" si="13"/>
        <v>3403.4</v>
      </c>
      <c r="G145" s="218">
        <f t="shared" si="14"/>
        <v>3248.7000000000003</v>
      </c>
      <c r="H145" s="111">
        <f t="shared" si="15"/>
        <v>3094</v>
      </c>
      <c r="I145" s="291">
        <f>1.3*2380</f>
        <v>3094</v>
      </c>
      <c r="J145" s="272"/>
      <c r="K145" s="111">
        <f t="shared" si="16"/>
        <v>2622.0338983050847</v>
      </c>
    </row>
    <row r="146" spans="1:11" ht="12.75" x14ac:dyDescent="0.2">
      <c r="A146" s="710"/>
      <c r="B146" s="14" t="s">
        <v>193</v>
      </c>
      <c r="C146" s="7" t="s">
        <v>2</v>
      </c>
      <c r="D146" s="284"/>
      <c r="E146" s="218">
        <f t="shared" si="12"/>
        <v>4611.75</v>
      </c>
      <c r="F146" s="218">
        <f t="shared" si="13"/>
        <v>3381.9500000000003</v>
      </c>
      <c r="G146" s="218">
        <f t="shared" si="14"/>
        <v>3228.2250000000004</v>
      </c>
      <c r="H146" s="111">
        <f t="shared" si="15"/>
        <v>3074.5</v>
      </c>
      <c r="I146" s="291">
        <f>1.3*2365</f>
        <v>3074.5</v>
      </c>
      <c r="J146" s="272"/>
      <c r="K146" s="111">
        <f t="shared" si="16"/>
        <v>2605.5084745762715</v>
      </c>
    </row>
    <row r="147" spans="1:11" ht="12.75" x14ac:dyDescent="0.2">
      <c r="A147" s="710"/>
      <c r="B147" s="14" t="s">
        <v>195</v>
      </c>
      <c r="C147" s="7" t="s">
        <v>2</v>
      </c>
      <c r="D147" s="284"/>
      <c r="E147" s="218">
        <f t="shared" si="12"/>
        <v>5557.5</v>
      </c>
      <c r="F147" s="218">
        <f t="shared" si="13"/>
        <v>4075.5000000000005</v>
      </c>
      <c r="G147" s="218">
        <f t="shared" si="14"/>
        <v>3890.25</v>
      </c>
      <c r="H147" s="111">
        <f t="shared" si="15"/>
        <v>3705</v>
      </c>
      <c r="I147" s="291">
        <f>1.3*2850</f>
        <v>3705</v>
      </c>
      <c r="J147" s="272"/>
      <c r="K147" s="111">
        <f t="shared" si="16"/>
        <v>3139.8305084745766</v>
      </c>
    </row>
    <row r="148" spans="1:11" ht="12.75" x14ac:dyDescent="0.2">
      <c r="A148" s="710"/>
      <c r="B148" s="14" t="s">
        <v>194</v>
      </c>
      <c r="C148" s="7" t="s">
        <v>3</v>
      </c>
      <c r="D148" s="284"/>
      <c r="E148" s="218">
        <f t="shared" si="12"/>
        <v>5684.25</v>
      </c>
      <c r="F148" s="218">
        <f t="shared" si="13"/>
        <v>4168.4500000000007</v>
      </c>
      <c r="G148" s="218">
        <f t="shared" si="14"/>
        <v>3978.9750000000004</v>
      </c>
      <c r="H148" s="111">
        <f t="shared" si="15"/>
        <v>3789.5</v>
      </c>
      <c r="I148" s="291">
        <f>1.3*2915</f>
        <v>3789.5</v>
      </c>
      <c r="J148" s="272"/>
      <c r="K148" s="111">
        <f t="shared" si="16"/>
        <v>3211.4406779661017</v>
      </c>
    </row>
    <row r="149" spans="1:11" ht="12.75" x14ac:dyDescent="0.2">
      <c r="A149" s="710"/>
      <c r="B149" s="14" t="s">
        <v>196</v>
      </c>
      <c r="C149" s="7" t="s">
        <v>3</v>
      </c>
      <c r="D149" s="284"/>
      <c r="E149" s="218">
        <f t="shared" si="12"/>
        <v>6844.5</v>
      </c>
      <c r="F149" s="218">
        <f t="shared" si="13"/>
        <v>5019.3</v>
      </c>
      <c r="G149" s="218">
        <f t="shared" si="14"/>
        <v>4791.1500000000005</v>
      </c>
      <c r="H149" s="111">
        <f t="shared" si="15"/>
        <v>4563</v>
      </c>
      <c r="I149" s="291">
        <f>1.3*3510</f>
        <v>4563</v>
      </c>
      <c r="J149" s="272"/>
      <c r="K149" s="111">
        <f t="shared" si="16"/>
        <v>3866.9491525423732</v>
      </c>
    </row>
    <row r="150" spans="1:11" ht="12.75" x14ac:dyDescent="0.2">
      <c r="A150" s="710"/>
      <c r="B150" s="14" t="s">
        <v>191</v>
      </c>
      <c r="C150" s="7" t="s">
        <v>4</v>
      </c>
      <c r="D150" s="284"/>
      <c r="E150" s="218">
        <f t="shared" si="12"/>
        <v>8365.5</v>
      </c>
      <c r="F150" s="218">
        <f t="shared" si="13"/>
        <v>6134.7000000000007</v>
      </c>
      <c r="G150" s="218">
        <f t="shared" si="14"/>
        <v>5855.85</v>
      </c>
      <c r="H150" s="111">
        <f t="shared" si="15"/>
        <v>5577</v>
      </c>
      <c r="I150" s="291">
        <f>1.3*4290</f>
        <v>5577</v>
      </c>
      <c r="J150" s="272"/>
      <c r="K150" s="111">
        <f t="shared" si="16"/>
        <v>4726.2711864406783</v>
      </c>
    </row>
    <row r="151" spans="1:11" ht="12.75" x14ac:dyDescent="0.2">
      <c r="A151" s="710"/>
      <c r="B151" s="14" t="s">
        <v>197</v>
      </c>
      <c r="C151" s="7" t="s">
        <v>4</v>
      </c>
      <c r="D151" s="284"/>
      <c r="E151" s="218">
        <f t="shared" si="12"/>
        <v>10062</v>
      </c>
      <c r="F151" s="218">
        <f t="shared" si="13"/>
        <v>7378.8</v>
      </c>
      <c r="G151" s="218">
        <f t="shared" si="14"/>
        <v>7043.4000000000005</v>
      </c>
      <c r="H151" s="111">
        <f t="shared" si="15"/>
        <v>6708</v>
      </c>
      <c r="I151" s="291">
        <f>1.3*5160</f>
        <v>6708</v>
      </c>
      <c r="J151" s="272"/>
      <c r="K151" s="111">
        <f t="shared" si="16"/>
        <v>5684.7457627118647</v>
      </c>
    </row>
    <row r="152" spans="1:11" ht="12.75" x14ac:dyDescent="0.2">
      <c r="A152" s="710"/>
      <c r="B152" s="14" t="s">
        <v>192</v>
      </c>
      <c r="C152" s="7" t="s">
        <v>5</v>
      </c>
      <c r="D152" s="284"/>
      <c r="E152" s="218">
        <f t="shared" si="12"/>
        <v>9223.5</v>
      </c>
      <c r="F152" s="218">
        <f t="shared" si="13"/>
        <v>6763.9000000000005</v>
      </c>
      <c r="G152" s="218">
        <f t="shared" si="14"/>
        <v>6456.4500000000007</v>
      </c>
      <c r="H152" s="111">
        <f t="shared" si="15"/>
        <v>6149</v>
      </c>
      <c r="I152" s="291">
        <f>1.3*4730</f>
        <v>6149</v>
      </c>
      <c r="J152" s="272"/>
      <c r="K152" s="111">
        <f t="shared" si="16"/>
        <v>5211.016949152543</v>
      </c>
    </row>
    <row r="153" spans="1:11" ht="12.75" x14ac:dyDescent="0.2">
      <c r="A153" s="710"/>
      <c r="B153" s="14" t="s">
        <v>198</v>
      </c>
      <c r="C153" s="7" t="s">
        <v>5</v>
      </c>
      <c r="D153" s="284"/>
      <c r="E153" s="218">
        <f t="shared" si="12"/>
        <v>11115</v>
      </c>
      <c r="F153" s="218">
        <f t="shared" si="13"/>
        <v>8151.0000000000009</v>
      </c>
      <c r="G153" s="218">
        <f t="shared" si="14"/>
        <v>7780.5</v>
      </c>
      <c r="H153" s="111">
        <f t="shared" si="15"/>
        <v>7410</v>
      </c>
      <c r="I153" s="291">
        <f>1.3*5700</f>
        <v>7410</v>
      </c>
      <c r="J153" s="272"/>
      <c r="K153" s="111">
        <f t="shared" si="16"/>
        <v>6279.6610169491532</v>
      </c>
    </row>
    <row r="154" spans="1:11" ht="12.75" x14ac:dyDescent="0.2">
      <c r="A154" s="710"/>
      <c r="B154" s="14" t="s">
        <v>366</v>
      </c>
      <c r="C154" s="7" t="s">
        <v>75</v>
      </c>
      <c r="D154" s="284"/>
      <c r="E154" s="218">
        <f t="shared" si="12"/>
        <v>13942.5</v>
      </c>
      <c r="F154" s="218">
        <f t="shared" si="13"/>
        <v>10224.5</v>
      </c>
      <c r="G154" s="218">
        <f t="shared" si="14"/>
        <v>9759.75</v>
      </c>
      <c r="H154" s="111">
        <f t="shared" si="15"/>
        <v>9295</v>
      </c>
      <c r="I154" s="291">
        <f>1.3*7150</f>
        <v>9295</v>
      </c>
      <c r="J154" s="272"/>
      <c r="K154" s="111">
        <f t="shared" si="16"/>
        <v>7877.1186440677966</v>
      </c>
    </row>
    <row r="155" spans="1:11" ht="12.75" x14ac:dyDescent="0.2">
      <c r="A155" s="710"/>
      <c r="B155" s="14" t="s">
        <v>367</v>
      </c>
      <c r="C155" s="7" t="s">
        <v>75</v>
      </c>
      <c r="D155" s="284"/>
      <c r="E155" s="218">
        <f t="shared" si="12"/>
        <v>16770</v>
      </c>
      <c r="F155" s="218">
        <f t="shared" si="13"/>
        <v>12298.000000000002</v>
      </c>
      <c r="G155" s="218">
        <f t="shared" si="14"/>
        <v>11739</v>
      </c>
      <c r="H155" s="111">
        <f t="shared" si="15"/>
        <v>11180</v>
      </c>
      <c r="I155" s="291">
        <f>1.3*8600</f>
        <v>11180</v>
      </c>
      <c r="J155" s="272"/>
      <c r="K155" s="111">
        <f t="shared" si="16"/>
        <v>9474.5762711864409</v>
      </c>
    </row>
    <row r="156" spans="1:11" ht="15.75" customHeight="1" x14ac:dyDescent="0.2">
      <c r="A156" s="710"/>
      <c r="B156" s="14" t="s">
        <v>266</v>
      </c>
      <c r="C156" s="7" t="s">
        <v>89</v>
      </c>
      <c r="D156" s="266" t="s">
        <v>285</v>
      </c>
      <c r="E156" s="218">
        <f t="shared" si="12"/>
        <v>9258.5</v>
      </c>
      <c r="F156" s="218">
        <f t="shared" si="13"/>
        <v>7110.9000000000005</v>
      </c>
      <c r="G156" s="218">
        <f t="shared" si="14"/>
        <v>6842.45</v>
      </c>
      <c r="H156" s="111">
        <f t="shared" si="15"/>
        <v>6574</v>
      </c>
      <c r="I156" s="291">
        <f>1.3*4130</f>
        <v>5369</v>
      </c>
      <c r="J156" s="272">
        <v>1205</v>
      </c>
      <c r="K156" s="111">
        <f t="shared" si="16"/>
        <v>5571.1864406779659</v>
      </c>
    </row>
    <row r="157" spans="1:11" ht="16.5" customHeight="1" x14ac:dyDescent="0.2">
      <c r="A157" s="710"/>
      <c r="B157" s="14" t="s">
        <v>271</v>
      </c>
      <c r="C157" s="7" t="s">
        <v>89</v>
      </c>
      <c r="D157" s="266" t="s">
        <v>285</v>
      </c>
      <c r="E157" s="218">
        <f t="shared" si="12"/>
        <v>11341.1</v>
      </c>
      <c r="F157" s="218">
        <f t="shared" si="13"/>
        <v>8638.1400000000012</v>
      </c>
      <c r="G157" s="218">
        <f t="shared" si="14"/>
        <v>8300.27</v>
      </c>
      <c r="H157" s="111">
        <f t="shared" si="15"/>
        <v>7962.4000000000005</v>
      </c>
      <c r="I157" s="291">
        <f>1.3*5198</f>
        <v>6757.4000000000005</v>
      </c>
      <c r="J157" s="272">
        <v>1205</v>
      </c>
      <c r="K157" s="111">
        <f t="shared" si="16"/>
        <v>6747.7966101694919</v>
      </c>
    </row>
    <row r="158" spans="1:11" ht="13.5" customHeight="1" x14ac:dyDescent="0.2">
      <c r="A158" s="710"/>
      <c r="B158" s="14" t="s">
        <v>267</v>
      </c>
      <c r="C158" s="7" t="s">
        <v>90</v>
      </c>
      <c r="D158" s="266" t="s">
        <v>286</v>
      </c>
      <c r="E158" s="218">
        <f t="shared" si="12"/>
        <v>9831</v>
      </c>
      <c r="F158" s="218">
        <f t="shared" si="13"/>
        <v>7553.4000000000005</v>
      </c>
      <c r="G158" s="218">
        <f t="shared" si="14"/>
        <v>7268.7</v>
      </c>
      <c r="H158" s="111">
        <f t="shared" si="15"/>
        <v>6984</v>
      </c>
      <c r="I158" s="291">
        <f>1.3*4380</f>
        <v>5694</v>
      </c>
      <c r="J158" s="272">
        <v>1290</v>
      </c>
      <c r="K158" s="111">
        <f t="shared" si="16"/>
        <v>5918.6440677966102</v>
      </c>
    </row>
    <row r="159" spans="1:11" ht="12.75" customHeight="1" x14ac:dyDescent="0.2">
      <c r="A159" s="710"/>
      <c r="B159" s="14" t="s">
        <v>272</v>
      </c>
      <c r="C159" s="7" t="s">
        <v>90</v>
      </c>
      <c r="D159" s="266" t="s">
        <v>286</v>
      </c>
      <c r="E159" s="218">
        <f t="shared" si="12"/>
        <v>12044.25</v>
      </c>
      <c r="F159" s="218">
        <f t="shared" si="13"/>
        <v>9176.4500000000007</v>
      </c>
      <c r="G159" s="218">
        <f t="shared" si="14"/>
        <v>8817.9750000000004</v>
      </c>
      <c r="H159" s="111">
        <f t="shared" si="15"/>
        <v>8459.5</v>
      </c>
      <c r="I159" s="291">
        <f>1.3*5515</f>
        <v>7169.5</v>
      </c>
      <c r="J159" s="272">
        <v>1290</v>
      </c>
      <c r="K159" s="111">
        <f t="shared" si="16"/>
        <v>7169.0677966101703</v>
      </c>
    </row>
    <row r="160" spans="1:11" ht="14.25" customHeight="1" x14ac:dyDescent="0.2">
      <c r="A160" s="710"/>
      <c r="B160" s="14" t="s">
        <v>268</v>
      </c>
      <c r="C160" s="7" t="s">
        <v>91</v>
      </c>
      <c r="D160" s="266" t="s">
        <v>287</v>
      </c>
      <c r="E160" s="218">
        <f t="shared" si="12"/>
        <v>12849.75</v>
      </c>
      <c r="F160" s="218">
        <f t="shared" si="13"/>
        <v>10059.950000000001</v>
      </c>
      <c r="G160" s="218">
        <f t="shared" si="14"/>
        <v>9711.2250000000004</v>
      </c>
      <c r="H160" s="111">
        <f t="shared" si="15"/>
        <v>9362.5</v>
      </c>
      <c r="I160" s="291">
        <f>1.3*5365</f>
        <v>6974.5</v>
      </c>
      <c r="J160" s="272">
        <v>2388</v>
      </c>
      <c r="K160" s="111">
        <f t="shared" si="16"/>
        <v>7934.3220338983056</v>
      </c>
    </row>
    <row r="161" spans="1:11" ht="16.5" customHeight="1" x14ac:dyDescent="0.2">
      <c r="A161" s="710"/>
      <c r="B161" s="14" t="s">
        <v>273</v>
      </c>
      <c r="C161" s="7" t="s">
        <v>91</v>
      </c>
      <c r="D161" s="266" t="s">
        <v>287</v>
      </c>
      <c r="E161" s="218">
        <f t="shared" si="12"/>
        <v>15882</v>
      </c>
      <c r="F161" s="218">
        <f t="shared" si="13"/>
        <v>12283.6</v>
      </c>
      <c r="G161" s="218">
        <f t="shared" si="14"/>
        <v>11833.800000000001</v>
      </c>
      <c r="H161" s="111">
        <f t="shared" si="15"/>
        <v>11384</v>
      </c>
      <c r="I161" s="291">
        <f>1.3*6920</f>
        <v>8996</v>
      </c>
      <c r="J161" s="272">
        <v>2388</v>
      </c>
      <c r="K161" s="111">
        <f t="shared" si="16"/>
        <v>9647.4576271186452</v>
      </c>
    </row>
    <row r="162" spans="1:11" ht="18.75" customHeight="1" x14ac:dyDescent="0.2">
      <c r="A162" s="710"/>
      <c r="B162" s="14" t="s">
        <v>269</v>
      </c>
      <c r="C162" s="7" t="s">
        <v>87</v>
      </c>
      <c r="D162" s="266" t="s">
        <v>288</v>
      </c>
      <c r="E162" s="218">
        <f t="shared" si="12"/>
        <v>16123.7</v>
      </c>
      <c r="F162" s="218">
        <f t="shared" si="13"/>
        <v>12542.980000000001</v>
      </c>
      <c r="G162" s="218">
        <f t="shared" si="14"/>
        <v>12095.390000000001</v>
      </c>
      <c r="H162" s="111">
        <f t="shared" si="15"/>
        <v>11647.800000000001</v>
      </c>
      <c r="I162" s="291">
        <f>1.3*6886</f>
        <v>8951.8000000000011</v>
      </c>
      <c r="J162" s="272">
        <v>2696</v>
      </c>
      <c r="K162" s="111">
        <f t="shared" si="16"/>
        <v>9871.016949152543</v>
      </c>
    </row>
    <row r="163" spans="1:11" ht="14.25" customHeight="1" x14ac:dyDescent="0.2">
      <c r="A163" s="710"/>
      <c r="B163" s="14" t="s">
        <v>274</v>
      </c>
      <c r="C163" s="7" t="s">
        <v>87</v>
      </c>
      <c r="D163" s="266" t="s">
        <v>288</v>
      </c>
      <c r="E163" s="218">
        <f t="shared" si="12"/>
        <v>19848.2</v>
      </c>
      <c r="F163" s="218">
        <f t="shared" si="13"/>
        <v>15274.280000000002</v>
      </c>
      <c r="G163" s="218">
        <f t="shared" si="14"/>
        <v>14702.54</v>
      </c>
      <c r="H163" s="111">
        <f t="shared" si="15"/>
        <v>14130.800000000001</v>
      </c>
      <c r="I163" s="291">
        <f>1.3*8796</f>
        <v>11434.800000000001</v>
      </c>
      <c r="J163" s="272">
        <v>2696</v>
      </c>
      <c r="K163" s="111">
        <f t="shared" si="16"/>
        <v>11975.254237288138</v>
      </c>
    </row>
    <row r="164" spans="1:11" ht="15.75" customHeight="1" x14ac:dyDescent="0.2">
      <c r="A164" s="710"/>
      <c r="B164" s="14" t="s">
        <v>270</v>
      </c>
      <c r="C164" s="7" t="s">
        <v>88</v>
      </c>
      <c r="D164" s="266" t="s">
        <v>289</v>
      </c>
      <c r="E164" s="218">
        <f t="shared" si="12"/>
        <v>22644.15</v>
      </c>
      <c r="F164" s="218">
        <f t="shared" si="13"/>
        <v>18558.510000000002</v>
      </c>
      <c r="G164" s="218">
        <f t="shared" si="14"/>
        <v>18047.805</v>
      </c>
      <c r="H164" s="111">
        <f t="shared" si="15"/>
        <v>17537.099999999999</v>
      </c>
      <c r="I164" s="291">
        <f>1.3*7857</f>
        <v>10214.1</v>
      </c>
      <c r="J164" s="272">
        <v>7323</v>
      </c>
      <c r="K164" s="111">
        <f t="shared" si="16"/>
        <v>14861.949152542373</v>
      </c>
    </row>
    <row r="165" spans="1:11" ht="15.75" customHeight="1" thickBot="1" x14ac:dyDescent="0.25">
      <c r="A165" s="718"/>
      <c r="B165" s="173" t="s">
        <v>275</v>
      </c>
      <c r="C165" s="174" t="s">
        <v>88</v>
      </c>
      <c r="D165" s="268" t="s">
        <v>289</v>
      </c>
      <c r="E165" s="218">
        <f t="shared" si="12"/>
        <v>28630.65</v>
      </c>
      <c r="F165" s="218">
        <f t="shared" si="13"/>
        <v>22948.61</v>
      </c>
      <c r="G165" s="218">
        <f t="shared" si="14"/>
        <v>22238.355000000003</v>
      </c>
      <c r="H165" s="111">
        <f t="shared" si="15"/>
        <v>21528.1</v>
      </c>
      <c r="I165" s="291">
        <f>1.3*10927</f>
        <v>14205.1</v>
      </c>
      <c r="J165" s="272">
        <v>7323</v>
      </c>
      <c r="K165" s="111">
        <f t="shared" si="16"/>
        <v>18244.152542372882</v>
      </c>
    </row>
    <row r="166" spans="1:11" ht="13.5" thickTop="1" x14ac:dyDescent="0.2">
      <c r="A166" s="717" t="s">
        <v>145</v>
      </c>
      <c r="B166" s="160" t="s">
        <v>513</v>
      </c>
      <c r="C166" s="161" t="s">
        <v>13</v>
      </c>
      <c r="D166" s="269"/>
      <c r="E166" s="218">
        <f t="shared" si="12"/>
        <v>5898.75</v>
      </c>
      <c r="F166" s="218">
        <f t="shared" si="13"/>
        <v>4325.75</v>
      </c>
      <c r="G166" s="218">
        <f t="shared" si="14"/>
        <v>4129.125</v>
      </c>
      <c r="H166" s="111">
        <f t="shared" si="15"/>
        <v>3932.5</v>
      </c>
      <c r="I166" s="291">
        <f>1.3*3025</f>
        <v>3932.5</v>
      </c>
      <c r="J166" s="272"/>
      <c r="K166" s="111">
        <f t="shared" si="16"/>
        <v>3332.6271186440681</v>
      </c>
    </row>
    <row r="167" spans="1:11" ht="12.75" x14ac:dyDescent="0.2">
      <c r="A167" s="710"/>
      <c r="B167" s="14" t="s">
        <v>514</v>
      </c>
      <c r="C167" s="7" t="s">
        <v>75</v>
      </c>
      <c r="D167" s="284"/>
      <c r="E167" s="218">
        <f t="shared" si="12"/>
        <v>11154</v>
      </c>
      <c r="F167" s="218">
        <f t="shared" si="13"/>
        <v>8179.6</v>
      </c>
      <c r="G167" s="218">
        <f t="shared" si="14"/>
        <v>7807.8</v>
      </c>
      <c r="H167" s="111">
        <f t="shared" si="15"/>
        <v>7436</v>
      </c>
      <c r="I167" s="291">
        <f>1.3*5720</f>
        <v>7436</v>
      </c>
      <c r="J167" s="272"/>
      <c r="K167" s="111">
        <f t="shared" si="16"/>
        <v>6301.6949152542375</v>
      </c>
    </row>
    <row r="168" spans="1:11" ht="15" customHeight="1" thickBot="1" x14ac:dyDescent="0.25">
      <c r="A168" s="718"/>
      <c r="B168" s="173" t="s">
        <v>515</v>
      </c>
      <c r="C168" s="174" t="s">
        <v>92</v>
      </c>
      <c r="D168" s="268" t="s">
        <v>291</v>
      </c>
      <c r="E168" s="218">
        <f t="shared" si="12"/>
        <v>7546.2999999999993</v>
      </c>
      <c r="F168" s="218">
        <f t="shared" si="13"/>
        <v>5854.22</v>
      </c>
      <c r="G168" s="218">
        <f t="shared" si="14"/>
        <v>5642.71</v>
      </c>
      <c r="H168" s="111">
        <f t="shared" si="15"/>
        <v>5431.2</v>
      </c>
      <c r="I168" s="291">
        <f>1.3*3254</f>
        <v>4230.2</v>
      </c>
      <c r="J168" s="272">
        <v>1201</v>
      </c>
      <c r="K168" s="111">
        <f t="shared" si="16"/>
        <v>4602.7118644067796</v>
      </c>
    </row>
    <row r="169" spans="1:11" ht="13.5" thickTop="1" x14ac:dyDescent="0.2">
      <c r="A169" s="717" t="s">
        <v>160</v>
      </c>
      <c r="B169" s="160" t="s">
        <v>516</v>
      </c>
      <c r="C169" s="181" t="s">
        <v>74</v>
      </c>
      <c r="D169" s="283"/>
      <c r="E169" s="218">
        <f t="shared" si="12"/>
        <v>3549</v>
      </c>
      <c r="F169" s="218">
        <f t="shared" si="13"/>
        <v>2602.6000000000004</v>
      </c>
      <c r="G169" s="218">
        <f t="shared" si="14"/>
        <v>2484.3000000000002</v>
      </c>
      <c r="H169" s="111">
        <f t="shared" si="15"/>
        <v>2366</v>
      </c>
      <c r="I169" s="291">
        <f>1.3*1820</f>
        <v>2366</v>
      </c>
      <c r="J169" s="272"/>
      <c r="K169" s="111">
        <f t="shared" si="16"/>
        <v>2005.0847457627119</v>
      </c>
    </row>
    <row r="170" spans="1:11" ht="15" customHeight="1" thickBot="1" x14ac:dyDescent="0.25">
      <c r="A170" s="718"/>
      <c r="B170" s="173" t="s">
        <v>517</v>
      </c>
      <c r="C170" s="174" t="s">
        <v>104</v>
      </c>
      <c r="D170" s="268" t="s">
        <v>285</v>
      </c>
      <c r="E170" s="218">
        <f t="shared" si="12"/>
        <v>4968.5</v>
      </c>
      <c r="F170" s="218">
        <f t="shared" si="13"/>
        <v>3964.9</v>
      </c>
      <c r="G170" s="218">
        <f t="shared" si="14"/>
        <v>3839.4500000000003</v>
      </c>
      <c r="H170" s="111">
        <f t="shared" si="15"/>
        <v>3714</v>
      </c>
      <c r="I170" s="291">
        <f>1.3*1930</f>
        <v>2509</v>
      </c>
      <c r="J170" s="272">
        <v>1205</v>
      </c>
      <c r="K170" s="111">
        <f t="shared" si="16"/>
        <v>3147.4576271186443</v>
      </c>
    </row>
    <row r="171" spans="1:11" ht="16.5" thickTop="1" x14ac:dyDescent="0.25">
      <c r="A171" s="121"/>
      <c r="B171" s="217" t="s">
        <v>163</v>
      </c>
      <c r="C171" s="17"/>
      <c r="D171" s="258"/>
      <c r="E171" s="222"/>
      <c r="F171" s="222"/>
      <c r="G171" s="222"/>
      <c r="H171" s="129"/>
      <c r="I171" s="291"/>
      <c r="J171" s="272"/>
      <c r="K171" s="129"/>
    </row>
    <row r="172" spans="1:11" s="1" customFormat="1" ht="26.25" customHeight="1" x14ac:dyDescent="0.2">
      <c r="A172" s="711" t="s">
        <v>163</v>
      </c>
      <c r="B172" s="2" t="s">
        <v>47</v>
      </c>
      <c r="C172" s="9" t="s">
        <v>116</v>
      </c>
      <c r="D172" s="286"/>
      <c r="E172" s="218"/>
      <c r="F172" s="218"/>
      <c r="G172" s="218"/>
      <c r="H172" s="111"/>
      <c r="I172" s="292"/>
      <c r="J172" s="273"/>
      <c r="K172" s="111"/>
    </row>
    <row r="173" spans="1:11" ht="26.25" customHeight="1" x14ac:dyDescent="0.2">
      <c r="A173" s="711"/>
      <c r="B173" s="4" t="s">
        <v>48</v>
      </c>
      <c r="C173" s="9" t="s">
        <v>117</v>
      </c>
      <c r="D173" s="286"/>
      <c r="E173" s="218"/>
      <c r="F173" s="218"/>
      <c r="G173" s="218"/>
      <c r="H173" s="111"/>
      <c r="I173" s="291"/>
      <c r="J173" s="272"/>
      <c r="K173" s="111"/>
    </row>
    <row r="174" spans="1:11" ht="26.25" customHeight="1" x14ac:dyDescent="0.2">
      <c r="A174" s="711"/>
      <c r="B174" s="4" t="s">
        <v>49</v>
      </c>
      <c r="C174" s="9" t="s">
        <v>118</v>
      </c>
      <c r="D174" s="286"/>
      <c r="E174" s="218"/>
      <c r="F174" s="218"/>
      <c r="G174" s="218"/>
      <c r="H174" s="111"/>
      <c r="I174" s="291"/>
      <c r="J174" s="272"/>
      <c r="K174" s="111"/>
    </row>
    <row r="175" spans="1:11" ht="26.25" customHeight="1" x14ac:dyDescent="0.2">
      <c r="A175" s="711"/>
      <c r="B175" s="4" t="s">
        <v>50</v>
      </c>
      <c r="C175" s="9" t="s">
        <v>119</v>
      </c>
      <c r="D175" s="286"/>
      <c r="E175" s="218"/>
      <c r="F175" s="218"/>
      <c r="G175" s="218"/>
      <c r="H175" s="111"/>
      <c r="I175" s="291"/>
      <c r="J175" s="272"/>
      <c r="K175" s="111"/>
    </row>
    <row r="176" spans="1:11" ht="24" customHeight="1" x14ac:dyDescent="0.2">
      <c r="A176" s="711"/>
      <c r="B176" s="4" t="s">
        <v>528</v>
      </c>
      <c r="C176" s="9" t="s">
        <v>121</v>
      </c>
      <c r="D176" s="286"/>
      <c r="E176" s="218"/>
      <c r="F176" s="218"/>
      <c r="G176" s="218"/>
      <c r="H176" s="111"/>
      <c r="I176" s="291"/>
      <c r="J176" s="272"/>
      <c r="K176" s="111"/>
    </row>
    <row r="177" spans="1:11" ht="27" customHeight="1" x14ac:dyDescent="0.2">
      <c r="A177" s="711"/>
      <c r="B177" s="4" t="s">
        <v>461</v>
      </c>
      <c r="C177" s="9" t="s">
        <v>462</v>
      </c>
      <c r="D177" s="286"/>
      <c r="E177" s="223"/>
      <c r="F177" s="223"/>
      <c r="G177" s="224"/>
      <c r="H177" s="118"/>
      <c r="I177" s="291"/>
      <c r="J177" s="272"/>
      <c r="K177" s="118"/>
    </row>
    <row r="178" spans="1:11" ht="23.25" customHeight="1" x14ac:dyDescent="0.2">
      <c r="A178" s="711"/>
      <c r="B178" s="4" t="s">
        <v>52</v>
      </c>
      <c r="C178" s="9" t="s">
        <v>120</v>
      </c>
      <c r="D178" s="286"/>
      <c r="E178" s="218"/>
      <c r="F178" s="218"/>
      <c r="G178" s="218"/>
      <c r="H178" s="111"/>
      <c r="I178" s="291"/>
      <c r="J178" s="272"/>
      <c r="K178" s="111"/>
    </row>
    <row r="179" spans="1:11" ht="30" customHeight="1" x14ac:dyDescent="0.2">
      <c r="A179" s="711"/>
      <c r="B179" s="4" t="s">
        <v>527</v>
      </c>
      <c r="C179" s="9"/>
      <c r="D179" s="286"/>
      <c r="E179" s="218"/>
      <c r="F179" s="218"/>
      <c r="G179" s="218"/>
      <c r="H179" s="111"/>
      <c r="I179" s="291"/>
      <c r="J179" s="272"/>
      <c r="K179" s="111"/>
    </row>
    <row r="180" spans="1:11" ht="15.75" customHeight="1" x14ac:dyDescent="0.2">
      <c r="A180" s="711"/>
      <c r="B180" s="4" t="s">
        <v>54</v>
      </c>
      <c r="C180" s="9" t="s">
        <v>122</v>
      </c>
      <c r="D180" s="286"/>
      <c r="E180" s="218"/>
      <c r="F180" s="218"/>
      <c r="G180" s="218"/>
      <c r="H180" s="111"/>
      <c r="I180" s="291"/>
      <c r="J180" s="272"/>
      <c r="K180" s="111"/>
    </row>
    <row r="181" spans="1:11" ht="15.75" customHeight="1" x14ac:dyDescent="0.2">
      <c r="A181" s="711"/>
      <c r="B181" s="4" t="s">
        <v>55</v>
      </c>
      <c r="C181" s="9" t="s">
        <v>123</v>
      </c>
      <c r="D181" s="286"/>
      <c r="E181" s="218"/>
      <c r="F181" s="218"/>
      <c r="G181" s="218"/>
      <c r="H181" s="111"/>
      <c r="I181" s="291"/>
      <c r="J181" s="272"/>
      <c r="K181" s="111"/>
    </row>
    <row r="182" spans="1:11" ht="15.75" customHeight="1" x14ac:dyDescent="0.2">
      <c r="A182" s="711"/>
      <c r="B182" s="4" t="s">
        <v>56</v>
      </c>
      <c r="C182" s="9" t="s">
        <v>124</v>
      </c>
      <c r="D182" s="286"/>
      <c r="E182" s="218"/>
      <c r="F182" s="218"/>
      <c r="G182" s="218"/>
      <c r="H182" s="111"/>
      <c r="I182" s="291"/>
      <c r="J182" s="272"/>
      <c r="K182" s="111"/>
    </row>
    <row r="183" spans="1:11" ht="26.25" customHeight="1" x14ac:dyDescent="0.2">
      <c r="A183" s="711"/>
      <c r="B183" s="4" t="s">
        <v>57</v>
      </c>
      <c r="C183" s="9" t="s">
        <v>129</v>
      </c>
      <c r="D183" s="286"/>
      <c r="E183" s="218"/>
      <c r="F183" s="218"/>
      <c r="G183" s="218"/>
      <c r="H183" s="111"/>
      <c r="I183" s="291"/>
      <c r="J183" s="272"/>
      <c r="K183" s="111"/>
    </row>
    <row r="184" spans="1:11" ht="26.25" customHeight="1" x14ac:dyDescent="0.2">
      <c r="A184" s="711"/>
      <c r="B184" s="4" t="s">
        <v>58</v>
      </c>
      <c r="C184" s="9" t="s">
        <v>130</v>
      </c>
      <c r="D184" s="286"/>
      <c r="E184" s="218"/>
      <c r="F184" s="218"/>
      <c r="G184" s="218"/>
      <c r="H184" s="111"/>
      <c r="I184" s="291"/>
      <c r="J184" s="272"/>
      <c r="K184" s="111"/>
    </row>
    <row r="185" spans="1:11" ht="26.25" customHeight="1" x14ac:dyDescent="0.2">
      <c r="A185" s="711"/>
      <c r="B185" s="4" t="s">
        <v>59</v>
      </c>
      <c r="C185" s="9" t="s">
        <v>131</v>
      </c>
      <c r="D185" s="286"/>
      <c r="E185" s="218"/>
      <c r="F185" s="218"/>
      <c r="G185" s="218"/>
      <c r="H185" s="111"/>
      <c r="I185" s="291"/>
      <c r="J185" s="272"/>
      <c r="K185" s="111"/>
    </row>
    <row r="186" spans="1:11" ht="26.25" customHeight="1" x14ac:dyDescent="0.2">
      <c r="A186" s="711"/>
      <c r="B186" s="4" t="s">
        <v>60</v>
      </c>
      <c r="C186" s="9" t="s">
        <v>132</v>
      </c>
      <c r="D186" s="286"/>
      <c r="E186" s="218"/>
      <c r="F186" s="218"/>
      <c r="G186" s="218"/>
      <c r="H186" s="111"/>
      <c r="I186" s="291"/>
      <c r="J186" s="272"/>
      <c r="K186" s="111"/>
    </row>
    <row r="187" spans="1:11" ht="15.75" customHeight="1" x14ac:dyDescent="0.2">
      <c r="A187" s="711"/>
      <c r="B187" s="4" t="s">
        <v>328</v>
      </c>
      <c r="C187" s="9" t="s">
        <v>125</v>
      </c>
      <c r="D187" s="286"/>
      <c r="E187" s="218"/>
      <c r="F187" s="218"/>
      <c r="G187" s="218"/>
      <c r="H187" s="111"/>
      <c r="I187" s="291"/>
      <c r="J187" s="272"/>
      <c r="K187" s="111"/>
    </row>
    <row r="188" spans="1:11" ht="14.25" customHeight="1" x14ac:dyDescent="0.2">
      <c r="A188" s="711"/>
      <c r="B188" s="4" t="s">
        <v>331</v>
      </c>
      <c r="C188" s="9" t="s">
        <v>125</v>
      </c>
      <c r="D188" s="286"/>
      <c r="E188" s="218"/>
      <c r="F188" s="218"/>
      <c r="G188" s="218"/>
      <c r="H188" s="111"/>
      <c r="I188" s="291"/>
      <c r="J188" s="272"/>
      <c r="K188" s="111"/>
    </row>
    <row r="189" spans="1:11" ht="15.75" customHeight="1" x14ac:dyDescent="0.2">
      <c r="A189" s="711"/>
      <c r="B189" s="4" t="s">
        <v>330</v>
      </c>
      <c r="C189" s="9" t="s">
        <v>126</v>
      </c>
      <c r="D189" s="286"/>
      <c r="E189" s="218"/>
      <c r="F189" s="218"/>
      <c r="G189" s="218"/>
      <c r="H189" s="111"/>
      <c r="I189" s="291"/>
      <c r="J189" s="272"/>
      <c r="K189" s="111"/>
    </row>
    <row r="190" spans="1:11" ht="15.75" customHeight="1" x14ac:dyDescent="0.2">
      <c r="A190" s="711"/>
      <c r="B190" s="4" t="s">
        <v>329</v>
      </c>
      <c r="C190" s="9" t="s">
        <v>127</v>
      </c>
      <c r="D190" s="286"/>
      <c r="E190" s="218"/>
      <c r="F190" s="218"/>
      <c r="G190" s="218"/>
      <c r="H190" s="111"/>
      <c r="I190" s="291"/>
      <c r="J190" s="272"/>
      <c r="K190" s="111"/>
    </row>
    <row r="191" spans="1:11" ht="24.75" customHeight="1" x14ac:dyDescent="0.2">
      <c r="A191" s="711"/>
      <c r="B191" s="120" t="s">
        <v>364</v>
      </c>
      <c r="C191" s="41" t="s">
        <v>344</v>
      </c>
      <c r="D191" s="286"/>
      <c r="E191" s="218"/>
      <c r="F191" s="218"/>
      <c r="G191" s="218"/>
      <c r="H191" s="111"/>
      <c r="I191" s="291"/>
      <c r="J191" s="272"/>
      <c r="K191" s="111"/>
    </row>
    <row r="192" spans="1:11" ht="17.25" customHeight="1" x14ac:dyDescent="0.2">
      <c r="A192" s="711"/>
      <c r="B192" s="4" t="s">
        <v>300</v>
      </c>
      <c r="C192" s="9" t="s">
        <v>128</v>
      </c>
      <c r="D192" s="286"/>
      <c r="E192" s="218"/>
      <c r="F192" s="218"/>
      <c r="G192" s="218"/>
      <c r="H192" s="111"/>
      <c r="I192" s="291"/>
      <c r="J192" s="272"/>
      <c r="K192" s="111"/>
    </row>
    <row r="194" spans="2:11" x14ac:dyDescent="0.25">
      <c r="B194" s="15" t="s">
        <v>299</v>
      </c>
    </row>
    <row r="195" spans="2:11" x14ac:dyDescent="0.25">
      <c r="B195" s="11" t="s">
        <v>217</v>
      </c>
      <c r="C195"/>
      <c r="D195" s="287"/>
      <c r="E195" s="97"/>
      <c r="F195" s="97"/>
      <c r="G195" s="97"/>
      <c r="H195" s="113"/>
      <c r="K195" s="113"/>
    </row>
    <row r="196" spans="2:11" x14ac:dyDescent="0.25">
      <c r="B196" s="11" t="s">
        <v>200</v>
      </c>
      <c r="C196"/>
      <c r="D196" s="287"/>
      <c r="E196" s="97"/>
      <c r="F196" s="97"/>
      <c r="G196" s="97"/>
      <c r="H196" s="113"/>
      <c r="K196" s="113"/>
    </row>
    <row r="197" spans="2:11" x14ac:dyDescent="0.25">
      <c r="B197" s="11" t="s">
        <v>199</v>
      </c>
      <c r="C197"/>
      <c r="D197" s="287"/>
      <c r="H197" s="113"/>
      <c r="K197" s="113"/>
    </row>
    <row r="198" spans="2:11" x14ac:dyDescent="0.25">
      <c r="B198" s="11" t="s">
        <v>201</v>
      </c>
      <c r="C198"/>
      <c r="D198" s="287"/>
      <c r="E198" s="97"/>
      <c r="F198" s="97"/>
      <c r="G198" s="97"/>
      <c r="H198" s="113"/>
      <c r="K198" s="113"/>
    </row>
    <row r="199" spans="2:11" x14ac:dyDescent="0.25">
      <c r="B199" s="11" t="s">
        <v>202</v>
      </c>
      <c r="C199"/>
      <c r="D199" s="287"/>
      <c r="E199" s="97"/>
      <c r="F199" s="97"/>
      <c r="G199" s="97"/>
      <c r="H199" s="113"/>
      <c r="K199" s="113"/>
    </row>
    <row r="200" spans="2:11" x14ac:dyDescent="0.25">
      <c r="B200" s="11" t="s">
        <v>203</v>
      </c>
      <c r="C200"/>
      <c r="D200" s="287"/>
      <c r="H200" s="114"/>
      <c r="K200" s="114"/>
    </row>
    <row r="201" spans="2:11" x14ac:dyDescent="0.25">
      <c r="B201" s="15" t="s">
        <v>205</v>
      </c>
      <c r="C201"/>
      <c r="D201" s="287"/>
      <c r="H201" s="114"/>
      <c r="K201" s="114"/>
    </row>
    <row r="202" spans="2:11" x14ac:dyDescent="0.25">
      <c r="B202" s="15" t="s">
        <v>204</v>
      </c>
      <c r="C202"/>
      <c r="D202" s="287"/>
      <c r="H202" s="114"/>
      <c r="K202" s="114"/>
    </row>
    <row r="203" spans="2:11" x14ac:dyDescent="0.25">
      <c r="B203" s="11" t="s">
        <v>518</v>
      </c>
      <c r="C203"/>
      <c r="D203" s="287"/>
    </row>
    <row r="204" spans="2:11" x14ac:dyDescent="0.25">
      <c r="B204" s="11" t="s">
        <v>519</v>
      </c>
      <c r="C204"/>
      <c r="D204" s="287"/>
    </row>
    <row r="205" spans="2:11" x14ac:dyDescent="0.25">
      <c r="B205" s="15" t="s">
        <v>183</v>
      </c>
      <c r="C205"/>
      <c r="D205" s="287"/>
    </row>
    <row r="206" spans="2:11" x14ac:dyDescent="0.25">
      <c r="B206" s="15" t="s">
        <v>182</v>
      </c>
      <c r="C206"/>
      <c r="D206" s="287"/>
    </row>
    <row r="207" spans="2:11" x14ac:dyDescent="0.25">
      <c r="B207" s="15" t="s">
        <v>206</v>
      </c>
      <c r="C207"/>
      <c r="D207" s="287"/>
    </row>
    <row r="208" spans="2:11" x14ac:dyDescent="0.25">
      <c r="B208" s="15" t="s">
        <v>207</v>
      </c>
      <c r="C208"/>
      <c r="D208" s="287"/>
    </row>
  </sheetData>
  <mergeCells count="31">
    <mergeCell ref="A113:A116"/>
    <mergeCell ref="A117:A120"/>
    <mergeCell ref="A121:A130"/>
    <mergeCell ref="A131:A134"/>
    <mergeCell ref="A172:A192"/>
    <mergeCell ref="A135:A136"/>
    <mergeCell ref="A137:A139"/>
    <mergeCell ref="A140:A143"/>
    <mergeCell ref="A144:A165"/>
    <mergeCell ref="A166:A168"/>
    <mergeCell ref="A169:A170"/>
    <mergeCell ref="A94:A96"/>
    <mergeCell ref="A97:A98"/>
    <mergeCell ref="A99:A105"/>
    <mergeCell ref="A106:A107"/>
    <mergeCell ref="A108:A112"/>
    <mergeCell ref="A64:A78"/>
    <mergeCell ref="A79:A81"/>
    <mergeCell ref="A82:A86"/>
    <mergeCell ref="A87:A88"/>
    <mergeCell ref="A89:A93"/>
    <mergeCell ref="A21:A25"/>
    <mergeCell ref="A26:A28"/>
    <mergeCell ref="A30:A31"/>
    <mergeCell ref="A32:A53"/>
    <mergeCell ref="A54:A63"/>
    <mergeCell ref="A1:D1"/>
    <mergeCell ref="A4:A6"/>
    <mergeCell ref="A8:A10"/>
    <mergeCell ref="A11:A17"/>
    <mergeCell ref="A18:A20"/>
  </mergeCells>
  <pageMargins left="0.7" right="0.7" top="0.75" bottom="0.75" header="0.3" footer="0.3"/>
  <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37"/>
  <sheetViews>
    <sheetView workbookViewId="0">
      <selection sqref="A1:IV65536"/>
    </sheetView>
  </sheetViews>
  <sheetFormatPr defaultRowHeight="15.75" x14ac:dyDescent="0.25"/>
  <cols>
    <col min="1" max="1" width="14.42578125" style="53" customWidth="1"/>
    <col min="2" max="2" width="51.7109375" style="15" customWidth="1"/>
    <col min="3" max="3" width="13.7109375" style="19" customWidth="1"/>
    <col min="4" max="4" width="16.7109375" style="257" customWidth="1"/>
    <col min="5" max="5" width="8.7109375" style="109" customWidth="1"/>
    <col min="6" max="6" width="8.140625" style="109" customWidth="1"/>
    <col min="7" max="7" width="8.85546875" style="109" customWidth="1"/>
    <col min="8" max="8" width="8" style="112" customWidth="1"/>
    <col min="9" max="9" width="8.28515625" style="293" customWidth="1"/>
    <col min="10" max="10" width="8.140625" style="298" customWidth="1"/>
    <col min="11" max="11" width="9.7109375" style="112" customWidth="1"/>
    <col min="12" max="12" width="9.140625" style="15"/>
    <col min="13" max="13" width="9.140625" style="15" hidden="1" customWidth="1"/>
    <col min="14" max="16384" width="9.140625" style="15"/>
  </cols>
  <sheetData>
    <row r="1" spans="1:13" ht="87" customHeight="1" x14ac:dyDescent="0.2">
      <c r="A1" s="726" t="s">
        <v>549</v>
      </c>
      <c r="B1" s="726"/>
      <c r="C1" s="726"/>
      <c r="D1" s="726"/>
      <c r="H1" s="255" t="s">
        <v>537</v>
      </c>
      <c r="I1" s="289"/>
      <c r="J1" s="295"/>
      <c r="K1" s="254"/>
    </row>
    <row r="2" spans="1:13" ht="27.75" customHeight="1" x14ac:dyDescent="0.25">
      <c r="A2" s="57"/>
      <c r="B2" s="300" t="s">
        <v>547</v>
      </c>
      <c r="C2" s="57"/>
      <c r="D2" s="57"/>
      <c r="H2" s="255"/>
      <c r="I2" s="289"/>
      <c r="J2" s="295"/>
      <c r="K2" s="254"/>
    </row>
    <row r="3" spans="1:13" ht="26.25" customHeight="1" x14ac:dyDescent="0.25">
      <c r="B3" s="299" t="s">
        <v>562</v>
      </c>
      <c r="C3" s="57"/>
      <c r="E3" s="288"/>
      <c r="I3" s="289" t="s">
        <v>561</v>
      </c>
      <c r="J3" s="295"/>
      <c r="K3" s="254"/>
      <c r="M3" s="15" t="s">
        <v>545</v>
      </c>
    </row>
    <row r="4" spans="1:13" ht="81" customHeight="1" x14ac:dyDescent="0.25">
      <c r="A4" s="324" t="s">
        <v>133</v>
      </c>
      <c r="B4" s="325" t="s">
        <v>16</v>
      </c>
      <c r="C4" s="326" t="s">
        <v>43</v>
      </c>
      <c r="D4" s="327" t="s">
        <v>298</v>
      </c>
      <c r="E4" s="328" t="s">
        <v>546</v>
      </c>
      <c r="F4" s="328" t="s">
        <v>523</v>
      </c>
      <c r="G4" s="329" t="s">
        <v>522</v>
      </c>
      <c r="H4" s="330" t="s">
        <v>521</v>
      </c>
      <c r="I4" s="331" t="s">
        <v>591</v>
      </c>
      <c r="J4" s="332" t="s">
        <v>533</v>
      </c>
      <c r="K4" s="333" t="s">
        <v>536</v>
      </c>
    </row>
    <row r="5" spans="1:13" ht="81" customHeight="1" x14ac:dyDescent="0.25">
      <c r="A5" s="336"/>
      <c r="B5" s="336"/>
      <c r="C5" s="336"/>
      <c r="D5" s="336"/>
      <c r="E5" s="336"/>
      <c r="F5" s="336"/>
      <c r="G5" s="336"/>
      <c r="H5" s="336"/>
      <c r="I5" s="336"/>
      <c r="J5" s="336"/>
      <c r="K5" s="336"/>
    </row>
    <row r="6" spans="1:13" ht="15" customHeight="1" x14ac:dyDescent="0.2">
      <c r="A6" s="727" t="s">
        <v>594</v>
      </c>
      <c r="B6" s="302" t="s">
        <v>596</v>
      </c>
      <c r="C6" s="334"/>
      <c r="D6" s="335"/>
      <c r="E6" s="222">
        <f>H6*1.4</f>
        <v>4620</v>
      </c>
      <c r="F6" s="222">
        <f>H6*1.1</f>
        <v>3630.0000000000005</v>
      </c>
      <c r="G6" s="222">
        <f>H6*1.05</f>
        <v>3465</v>
      </c>
      <c r="H6" s="129">
        <f>I6+J6</f>
        <v>3300</v>
      </c>
      <c r="I6" s="307">
        <v>3300</v>
      </c>
      <c r="J6" s="308"/>
      <c r="K6" s="129">
        <f>H6/1.18</f>
        <v>2796.6101694915255</v>
      </c>
    </row>
    <row r="7" spans="1:13" ht="15" customHeight="1" thickBot="1" x14ac:dyDescent="0.25">
      <c r="A7" s="713"/>
      <c r="B7" s="48" t="s">
        <v>595</v>
      </c>
      <c r="C7" s="35"/>
      <c r="D7" s="256" t="s">
        <v>292</v>
      </c>
      <c r="E7" s="218">
        <f>H7*1.4</f>
        <v>11911.199999999999</v>
      </c>
      <c r="F7" s="218">
        <f>H7*1.1</f>
        <v>9358.8000000000011</v>
      </c>
      <c r="G7" s="218">
        <f>H7*1.05</f>
        <v>8933.4</v>
      </c>
      <c r="H7" s="111">
        <f>I7+J7</f>
        <v>8508</v>
      </c>
      <c r="I7" s="291">
        <v>6950</v>
      </c>
      <c r="J7" s="296">
        <v>1558</v>
      </c>
      <c r="K7" s="111">
        <f>H7/1.18</f>
        <v>7210.1694915254238</v>
      </c>
    </row>
    <row r="8" spans="1:13" ht="15" customHeight="1" thickTop="1" thickBot="1" x14ac:dyDescent="0.25">
      <c r="A8" s="720"/>
      <c r="B8" s="14" t="s">
        <v>597</v>
      </c>
      <c r="C8" s="35"/>
      <c r="D8" s="323"/>
      <c r="E8" s="218">
        <f>H8*1.4</f>
        <v>20160</v>
      </c>
      <c r="F8" s="218">
        <f>H8*1.1</f>
        <v>15840.000000000002</v>
      </c>
      <c r="G8" s="218">
        <f>H8*1.05</f>
        <v>15120</v>
      </c>
      <c r="H8" s="111">
        <f>I8+J8</f>
        <v>14400</v>
      </c>
      <c r="I8" s="291">
        <v>14400</v>
      </c>
      <c r="J8" s="296"/>
      <c r="K8" s="111">
        <f>H8/1.18</f>
        <v>12203.389830508475</v>
      </c>
    </row>
    <row r="9" spans="1:13" s="26" customFormat="1" ht="13.5" thickTop="1" x14ac:dyDescent="0.2">
      <c r="A9" s="713" t="s">
        <v>150</v>
      </c>
      <c r="B9" s="48" t="s">
        <v>21</v>
      </c>
      <c r="C9" s="49" t="s">
        <v>12</v>
      </c>
      <c r="D9" s="259"/>
      <c r="E9" s="218">
        <f>H9*1.4</f>
        <v>5197.5</v>
      </c>
      <c r="F9" s="218">
        <f>H9*1.1</f>
        <v>4083.7500000000009</v>
      </c>
      <c r="G9" s="218">
        <f>H9*1.05</f>
        <v>3898.1250000000005</v>
      </c>
      <c r="H9" s="111">
        <f>I9+J9</f>
        <v>3712.5000000000005</v>
      </c>
      <c r="I9" s="291">
        <f>M9*1.35</f>
        <v>3712.5000000000005</v>
      </c>
      <c r="J9" s="296"/>
      <c r="K9" s="111">
        <f t="shared" ref="K9:K72" si="0">H9/1.18</f>
        <v>3146.1864406779669</v>
      </c>
      <c r="M9" s="294">
        <v>2750</v>
      </c>
    </row>
    <row r="10" spans="1:13" s="26" customFormat="1" ht="12.75" x14ac:dyDescent="0.2">
      <c r="A10" s="713"/>
      <c r="B10" s="48" t="s">
        <v>433</v>
      </c>
      <c r="C10" s="52" t="s">
        <v>92</v>
      </c>
      <c r="D10" s="259"/>
      <c r="E10" s="218">
        <f t="shared" ref="E10:E73" si="1">H10*1.4</f>
        <v>14553.000000000002</v>
      </c>
      <c r="F10" s="218">
        <f t="shared" ref="F10:F73" si="2">H10*1.1</f>
        <v>11434.500000000004</v>
      </c>
      <c r="G10" s="218">
        <f t="shared" ref="G10:G73" si="3">H10*1.05</f>
        <v>10914.750000000002</v>
      </c>
      <c r="H10" s="111">
        <f t="shared" ref="H10:H73" si="4">I10+J10</f>
        <v>10395.000000000002</v>
      </c>
      <c r="I10" s="291">
        <f t="shared" ref="I10:I34" si="5">M10*1.35</f>
        <v>10395.000000000002</v>
      </c>
      <c r="J10" s="296"/>
      <c r="K10" s="111">
        <f t="shared" si="0"/>
        <v>8809.3220338983065</v>
      </c>
      <c r="M10" s="294">
        <v>7700.0000000000009</v>
      </c>
    </row>
    <row r="11" spans="1:13" ht="13.5" thickBot="1" x14ac:dyDescent="0.25">
      <c r="A11" s="720"/>
      <c r="B11" s="134" t="s">
        <v>434</v>
      </c>
      <c r="C11" s="135" t="s">
        <v>435</v>
      </c>
      <c r="D11" s="275"/>
      <c r="E11" s="218">
        <f t="shared" si="1"/>
        <v>10187.1</v>
      </c>
      <c r="F11" s="218">
        <f t="shared" si="2"/>
        <v>8004.1500000000015</v>
      </c>
      <c r="G11" s="218">
        <f t="shared" si="3"/>
        <v>7640.3250000000016</v>
      </c>
      <c r="H11" s="111">
        <f t="shared" si="4"/>
        <v>7276.5000000000009</v>
      </c>
      <c r="I11" s="291">
        <f t="shared" si="5"/>
        <v>7276.5000000000009</v>
      </c>
      <c r="J11" s="296"/>
      <c r="K11" s="111">
        <f t="shared" si="0"/>
        <v>6166.5254237288145</v>
      </c>
      <c r="M11" s="294">
        <v>5390</v>
      </c>
    </row>
    <row r="12" spans="1:13" ht="17.25" thickTop="1" thickBot="1" x14ac:dyDescent="0.3">
      <c r="A12" s="146" t="s">
        <v>151</v>
      </c>
      <c r="B12" s="147" t="s">
        <v>22</v>
      </c>
      <c r="C12" s="148" t="s">
        <v>166</v>
      </c>
      <c r="D12" s="276"/>
      <c r="E12" s="218">
        <f t="shared" si="1"/>
        <v>1001.6999999999999</v>
      </c>
      <c r="F12" s="218">
        <f t="shared" si="2"/>
        <v>787.05000000000007</v>
      </c>
      <c r="G12" s="218">
        <f t="shared" si="3"/>
        <v>751.27499999999998</v>
      </c>
      <c r="H12" s="111">
        <f t="shared" si="4"/>
        <v>715.5</v>
      </c>
      <c r="I12" s="291">
        <f t="shared" si="5"/>
        <v>715.5</v>
      </c>
      <c r="J12" s="296"/>
      <c r="K12" s="111">
        <f t="shared" si="0"/>
        <v>606.3559322033899</v>
      </c>
      <c r="M12" s="294">
        <v>530</v>
      </c>
    </row>
    <row r="13" spans="1:13" ht="13.5" thickTop="1" x14ac:dyDescent="0.2">
      <c r="A13" s="717" t="s">
        <v>136</v>
      </c>
      <c r="B13" s="160" t="s">
        <v>463</v>
      </c>
      <c r="C13" s="161" t="s">
        <v>355</v>
      </c>
      <c r="D13" s="260"/>
      <c r="E13" s="218">
        <f t="shared" si="1"/>
        <v>24040.799999999999</v>
      </c>
      <c r="F13" s="218">
        <f t="shared" si="2"/>
        <v>18889.2</v>
      </c>
      <c r="G13" s="218">
        <f t="shared" si="3"/>
        <v>18030.600000000002</v>
      </c>
      <c r="H13" s="111">
        <f t="shared" si="4"/>
        <v>17172</v>
      </c>
      <c r="I13" s="291">
        <f t="shared" si="5"/>
        <v>17172</v>
      </c>
      <c r="J13" s="296"/>
      <c r="K13" s="111">
        <f t="shared" si="0"/>
        <v>14552.542372881357</v>
      </c>
      <c r="M13" s="294">
        <v>12720</v>
      </c>
    </row>
    <row r="14" spans="1:13" ht="12.75" x14ac:dyDescent="0.2">
      <c r="A14" s="710"/>
      <c r="B14" s="14" t="s">
        <v>464</v>
      </c>
      <c r="C14" s="7" t="s">
        <v>82</v>
      </c>
      <c r="D14" s="277"/>
      <c r="E14" s="218">
        <f t="shared" si="1"/>
        <v>19126.8</v>
      </c>
      <c r="F14" s="218">
        <f t="shared" si="2"/>
        <v>15028.2</v>
      </c>
      <c r="G14" s="218">
        <f t="shared" si="3"/>
        <v>14345.1</v>
      </c>
      <c r="H14" s="111">
        <f t="shared" si="4"/>
        <v>13662</v>
      </c>
      <c r="I14" s="291">
        <f t="shared" si="5"/>
        <v>13662</v>
      </c>
      <c r="J14" s="296"/>
      <c r="K14" s="111">
        <f t="shared" si="0"/>
        <v>11577.966101694916</v>
      </c>
      <c r="M14" s="294">
        <v>10120</v>
      </c>
    </row>
    <row r="15" spans="1:13" ht="23.25" thickBot="1" x14ac:dyDescent="0.25">
      <c r="A15" s="718"/>
      <c r="B15" s="173" t="s">
        <v>465</v>
      </c>
      <c r="C15" s="174" t="s">
        <v>96</v>
      </c>
      <c r="D15" s="256" t="s">
        <v>542</v>
      </c>
      <c r="E15" s="218">
        <f t="shared" si="1"/>
        <v>33295.64</v>
      </c>
      <c r="F15" s="218">
        <f t="shared" si="2"/>
        <v>26160.860000000004</v>
      </c>
      <c r="G15" s="218">
        <f t="shared" si="3"/>
        <v>24971.730000000003</v>
      </c>
      <c r="H15" s="111">
        <f t="shared" si="4"/>
        <v>23782.600000000002</v>
      </c>
      <c r="I15" s="291">
        <f t="shared" si="5"/>
        <v>18543.600000000002</v>
      </c>
      <c r="J15" s="296">
        <v>5239</v>
      </c>
      <c r="K15" s="111">
        <f t="shared" si="0"/>
        <v>20154.745762711867</v>
      </c>
      <c r="M15" s="294">
        <v>13736</v>
      </c>
    </row>
    <row r="16" spans="1:13" ht="13.5" thickTop="1" x14ac:dyDescent="0.2">
      <c r="A16" s="717" t="s">
        <v>135</v>
      </c>
      <c r="B16" s="160" t="s">
        <v>466</v>
      </c>
      <c r="C16" s="181" t="s">
        <v>81</v>
      </c>
      <c r="D16" s="278"/>
      <c r="E16" s="218">
        <f t="shared" si="1"/>
        <v>10602.900000000001</v>
      </c>
      <c r="F16" s="218">
        <f t="shared" si="2"/>
        <v>8330.8500000000022</v>
      </c>
      <c r="G16" s="218">
        <f t="shared" si="3"/>
        <v>7952.1750000000011</v>
      </c>
      <c r="H16" s="111">
        <f t="shared" si="4"/>
        <v>7573.5000000000009</v>
      </c>
      <c r="I16" s="291">
        <f t="shared" si="5"/>
        <v>7573.5000000000009</v>
      </c>
      <c r="J16" s="296"/>
      <c r="K16" s="111">
        <f t="shared" si="0"/>
        <v>6418.220338983052</v>
      </c>
      <c r="M16" s="294">
        <v>5610</v>
      </c>
    </row>
    <row r="17" spans="1:13" ht="12.75" x14ac:dyDescent="0.2">
      <c r="A17" s="710"/>
      <c r="B17" s="14" t="s">
        <v>467</v>
      </c>
      <c r="C17" s="7" t="s">
        <v>92</v>
      </c>
      <c r="D17" s="261" t="s">
        <v>281</v>
      </c>
      <c r="E17" s="218">
        <f t="shared" si="1"/>
        <v>10057.880000000001</v>
      </c>
      <c r="F17" s="218">
        <f t="shared" si="2"/>
        <v>7902.6200000000026</v>
      </c>
      <c r="G17" s="218">
        <f t="shared" si="3"/>
        <v>7543.4100000000017</v>
      </c>
      <c r="H17" s="111">
        <f t="shared" si="4"/>
        <v>7184.2000000000016</v>
      </c>
      <c r="I17" s="291">
        <f t="shared" si="5"/>
        <v>4201.2000000000016</v>
      </c>
      <c r="J17" s="296">
        <v>2983</v>
      </c>
      <c r="K17" s="111">
        <f t="shared" si="0"/>
        <v>6088.3050847457644</v>
      </c>
      <c r="M17" s="294">
        <v>3112.0000000000009</v>
      </c>
    </row>
    <row r="18" spans="1:13" ht="12.75" x14ac:dyDescent="0.2">
      <c r="A18" s="710"/>
      <c r="B18" s="14" t="s">
        <v>468</v>
      </c>
      <c r="C18" s="7" t="s">
        <v>92</v>
      </c>
      <c r="D18" s="261" t="s">
        <v>281</v>
      </c>
      <c r="E18" s="218">
        <f t="shared" si="1"/>
        <v>10889.480000000001</v>
      </c>
      <c r="F18" s="218">
        <f t="shared" si="2"/>
        <v>8556.0200000000023</v>
      </c>
      <c r="G18" s="218">
        <f t="shared" si="3"/>
        <v>8167.1100000000024</v>
      </c>
      <c r="H18" s="111">
        <f t="shared" si="4"/>
        <v>7778.2000000000016</v>
      </c>
      <c r="I18" s="291">
        <f t="shared" si="5"/>
        <v>4795.2000000000016</v>
      </c>
      <c r="J18" s="296">
        <v>2983</v>
      </c>
      <c r="K18" s="111">
        <f t="shared" si="0"/>
        <v>6591.6949152542393</v>
      </c>
      <c r="M18" s="294">
        <v>3552.0000000000009</v>
      </c>
    </row>
    <row r="19" spans="1:13" ht="12.75" x14ac:dyDescent="0.2">
      <c r="A19" s="710"/>
      <c r="B19" s="14" t="s">
        <v>469</v>
      </c>
      <c r="C19" s="7" t="s">
        <v>94</v>
      </c>
      <c r="D19" s="261" t="s">
        <v>282</v>
      </c>
      <c r="E19" s="218">
        <f t="shared" si="1"/>
        <v>11164.300000000001</v>
      </c>
      <c r="F19" s="218">
        <f t="shared" si="2"/>
        <v>8771.9500000000025</v>
      </c>
      <c r="G19" s="218">
        <f t="shared" si="3"/>
        <v>8373.2250000000022</v>
      </c>
      <c r="H19" s="111">
        <f t="shared" si="4"/>
        <v>7974.5000000000018</v>
      </c>
      <c r="I19" s="291">
        <f t="shared" si="5"/>
        <v>4414.5000000000018</v>
      </c>
      <c r="J19" s="296">
        <v>3560</v>
      </c>
      <c r="K19" s="111">
        <f t="shared" si="0"/>
        <v>6758.0508474576291</v>
      </c>
      <c r="M19" s="294">
        <v>3270.0000000000009</v>
      </c>
    </row>
    <row r="20" spans="1:13" ht="12.75" x14ac:dyDescent="0.2">
      <c r="A20" s="710"/>
      <c r="B20" s="14" t="s">
        <v>470</v>
      </c>
      <c r="C20" s="7" t="s">
        <v>94</v>
      </c>
      <c r="D20" s="261" t="s">
        <v>282</v>
      </c>
      <c r="E20" s="218">
        <f t="shared" si="1"/>
        <v>11995.900000000001</v>
      </c>
      <c r="F20" s="218">
        <f t="shared" si="2"/>
        <v>9425.3500000000022</v>
      </c>
      <c r="G20" s="218">
        <f t="shared" si="3"/>
        <v>8996.9250000000029</v>
      </c>
      <c r="H20" s="111">
        <f t="shared" si="4"/>
        <v>8568.5000000000018</v>
      </c>
      <c r="I20" s="291">
        <f t="shared" si="5"/>
        <v>5008.5000000000018</v>
      </c>
      <c r="J20" s="296">
        <v>3560</v>
      </c>
      <c r="K20" s="111">
        <f t="shared" si="0"/>
        <v>7261.440677966104</v>
      </c>
      <c r="M20" s="294">
        <v>3710.0000000000009</v>
      </c>
    </row>
    <row r="21" spans="1:13" ht="12.75" x14ac:dyDescent="0.2">
      <c r="A21" s="710"/>
      <c r="B21" s="14" t="s">
        <v>471</v>
      </c>
      <c r="C21" s="7" t="s">
        <v>95</v>
      </c>
      <c r="D21" s="261" t="s">
        <v>283</v>
      </c>
      <c r="E21" s="218">
        <f t="shared" si="1"/>
        <v>13689.130000000001</v>
      </c>
      <c r="F21" s="218">
        <f t="shared" si="2"/>
        <v>10755.745000000001</v>
      </c>
      <c r="G21" s="218">
        <f t="shared" si="3"/>
        <v>10266.847500000002</v>
      </c>
      <c r="H21" s="111">
        <f t="shared" si="4"/>
        <v>9777.9500000000007</v>
      </c>
      <c r="I21" s="291">
        <f t="shared" si="5"/>
        <v>5314.9500000000007</v>
      </c>
      <c r="J21" s="296">
        <v>4463</v>
      </c>
      <c r="K21" s="111">
        <f t="shared" si="0"/>
        <v>8286.3983050847473</v>
      </c>
      <c r="M21" s="294">
        <v>3937</v>
      </c>
    </row>
    <row r="22" spans="1:13" ht="13.5" thickBot="1" x14ac:dyDescent="0.25">
      <c r="A22" s="718"/>
      <c r="B22" s="173" t="s">
        <v>472</v>
      </c>
      <c r="C22" s="174" t="s">
        <v>95</v>
      </c>
      <c r="D22" s="256" t="s">
        <v>283</v>
      </c>
      <c r="E22" s="218">
        <f t="shared" si="1"/>
        <v>14520.73</v>
      </c>
      <c r="F22" s="218">
        <f t="shared" si="2"/>
        <v>11409.145000000002</v>
      </c>
      <c r="G22" s="218">
        <f t="shared" si="3"/>
        <v>10890.547500000001</v>
      </c>
      <c r="H22" s="111">
        <f t="shared" si="4"/>
        <v>10371.950000000001</v>
      </c>
      <c r="I22" s="291">
        <f t="shared" si="5"/>
        <v>5908.9500000000007</v>
      </c>
      <c r="J22" s="296">
        <v>4463</v>
      </c>
      <c r="K22" s="111">
        <f t="shared" si="0"/>
        <v>8789.7881355932223</v>
      </c>
      <c r="M22" s="294">
        <v>4377</v>
      </c>
    </row>
    <row r="23" spans="1:13" ht="13.5" thickTop="1" x14ac:dyDescent="0.2">
      <c r="A23" s="717" t="s">
        <v>149</v>
      </c>
      <c r="B23" s="160" t="s">
        <v>24</v>
      </c>
      <c r="C23" s="161" t="s">
        <v>6</v>
      </c>
      <c r="D23" s="260"/>
      <c r="E23" s="218">
        <f t="shared" si="1"/>
        <v>4885.6500000000005</v>
      </c>
      <c r="F23" s="218">
        <f t="shared" si="2"/>
        <v>3838.7250000000008</v>
      </c>
      <c r="G23" s="218">
        <f t="shared" si="3"/>
        <v>3664.2375000000006</v>
      </c>
      <c r="H23" s="111">
        <f t="shared" si="4"/>
        <v>3489.7500000000005</v>
      </c>
      <c r="I23" s="291">
        <f t="shared" si="5"/>
        <v>3489.7500000000005</v>
      </c>
      <c r="J23" s="296"/>
      <c r="K23" s="111">
        <f t="shared" si="0"/>
        <v>2957.4152542372885</v>
      </c>
      <c r="M23" s="294">
        <v>2585</v>
      </c>
    </row>
    <row r="24" spans="1:13" ht="12.75" x14ac:dyDescent="0.2">
      <c r="A24" s="710"/>
      <c r="B24" s="14" t="s">
        <v>25</v>
      </c>
      <c r="C24" s="8" t="s">
        <v>7</v>
      </c>
      <c r="D24" s="262"/>
      <c r="E24" s="218">
        <f t="shared" si="1"/>
        <v>5197.5</v>
      </c>
      <c r="F24" s="218">
        <f t="shared" si="2"/>
        <v>4083.7500000000009</v>
      </c>
      <c r="G24" s="218">
        <f t="shared" si="3"/>
        <v>3898.1250000000005</v>
      </c>
      <c r="H24" s="111">
        <f t="shared" si="4"/>
        <v>3712.5000000000005</v>
      </c>
      <c r="I24" s="291">
        <f t="shared" si="5"/>
        <v>3712.5000000000005</v>
      </c>
      <c r="J24" s="296"/>
      <c r="K24" s="111">
        <f t="shared" si="0"/>
        <v>3146.1864406779669</v>
      </c>
      <c r="M24" s="294">
        <v>2750</v>
      </c>
    </row>
    <row r="25" spans="1:13" ht="13.5" thickBot="1" x14ac:dyDescent="0.25">
      <c r="A25" s="718"/>
      <c r="B25" s="173" t="s">
        <v>26</v>
      </c>
      <c r="C25" s="182" t="s">
        <v>8</v>
      </c>
      <c r="D25" s="263"/>
      <c r="E25" s="218">
        <f t="shared" si="1"/>
        <v>5613.3000000000011</v>
      </c>
      <c r="F25" s="218">
        <f t="shared" si="2"/>
        <v>4410.4500000000016</v>
      </c>
      <c r="G25" s="218">
        <f t="shared" si="3"/>
        <v>4209.9750000000013</v>
      </c>
      <c r="H25" s="111">
        <f t="shared" si="4"/>
        <v>4009.5000000000009</v>
      </c>
      <c r="I25" s="291">
        <f t="shared" si="5"/>
        <v>4009.5000000000009</v>
      </c>
      <c r="J25" s="296"/>
      <c r="K25" s="111">
        <f t="shared" si="0"/>
        <v>3397.8813559322043</v>
      </c>
      <c r="M25" s="294">
        <v>2970.0000000000005</v>
      </c>
    </row>
    <row r="26" spans="1:13" ht="12.75" customHeight="1" thickTop="1" x14ac:dyDescent="0.2">
      <c r="A26" s="724" t="s">
        <v>304</v>
      </c>
      <c r="B26" s="160" t="s">
        <v>473</v>
      </c>
      <c r="C26" s="183" t="s">
        <v>443</v>
      </c>
      <c r="D26" s="278"/>
      <c r="E26" s="218">
        <f t="shared" si="1"/>
        <v>3307.5</v>
      </c>
      <c r="F26" s="218">
        <f t="shared" si="2"/>
        <v>2598.75</v>
      </c>
      <c r="G26" s="218">
        <f t="shared" si="3"/>
        <v>2480.625</v>
      </c>
      <c r="H26" s="111">
        <f t="shared" si="4"/>
        <v>2362.5</v>
      </c>
      <c r="I26" s="291">
        <f t="shared" si="5"/>
        <v>2362.5</v>
      </c>
      <c r="J26" s="296"/>
      <c r="K26" s="111">
        <f t="shared" si="0"/>
        <v>2002.1186440677968</v>
      </c>
      <c r="M26" s="294">
        <v>1750</v>
      </c>
    </row>
    <row r="27" spans="1:13" ht="12.75" customHeight="1" x14ac:dyDescent="0.2">
      <c r="A27" s="715"/>
      <c r="B27" s="14" t="s">
        <v>474</v>
      </c>
      <c r="C27" s="35" t="s">
        <v>447</v>
      </c>
      <c r="D27" s="277"/>
      <c r="E27" s="218">
        <f t="shared" si="1"/>
        <v>8731.7999999999993</v>
      </c>
      <c r="F27" s="218">
        <f t="shared" si="2"/>
        <v>6860.7000000000007</v>
      </c>
      <c r="G27" s="218">
        <f t="shared" si="3"/>
        <v>6548.85</v>
      </c>
      <c r="H27" s="111">
        <f t="shared" si="4"/>
        <v>6237</v>
      </c>
      <c r="I27" s="291">
        <f t="shared" si="5"/>
        <v>6237</v>
      </c>
      <c r="J27" s="296"/>
      <c r="K27" s="111">
        <f t="shared" si="0"/>
        <v>5285.593220338983</v>
      </c>
      <c r="M27" s="294">
        <v>4620</v>
      </c>
    </row>
    <row r="28" spans="1:13" ht="12.75" customHeight="1" x14ac:dyDescent="0.2">
      <c r="A28" s="715"/>
      <c r="B28" s="14" t="s">
        <v>475</v>
      </c>
      <c r="C28" s="35" t="s">
        <v>84</v>
      </c>
      <c r="D28" s="277"/>
      <c r="E28" s="218">
        <f t="shared" si="1"/>
        <v>13097.700000000003</v>
      </c>
      <c r="F28" s="218">
        <f t="shared" si="2"/>
        <v>10291.050000000003</v>
      </c>
      <c r="G28" s="218">
        <f t="shared" si="3"/>
        <v>9823.2750000000015</v>
      </c>
      <c r="H28" s="111">
        <f t="shared" si="4"/>
        <v>9355.5000000000018</v>
      </c>
      <c r="I28" s="291">
        <f t="shared" si="5"/>
        <v>9355.5000000000018</v>
      </c>
      <c r="J28" s="296"/>
      <c r="K28" s="111">
        <f t="shared" si="0"/>
        <v>7928.3898305084767</v>
      </c>
      <c r="M28" s="294">
        <v>6930.0000000000009</v>
      </c>
    </row>
    <row r="29" spans="1:13" ht="12.75" customHeight="1" x14ac:dyDescent="0.2">
      <c r="A29" s="715"/>
      <c r="B29" s="14" t="s">
        <v>476</v>
      </c>
      <c r="C29" s="7" t="s">
        <v>305</v>
      </c>
      <c r="D29" s="259" t="s">
        <v>534</v>
      </c>
      <c r="E29" s="218">
        <f t="shared" si="1"/>
        <v>9862.86</v>
      </c>
      <c r="F29" s="218">
        <f t="shared" si="2"/>
        <v>7749.3900000000012</v>
      </c>
      <c r="G29" s="218">
        <f t="shared" si="3"/>
        <v>7397.1450000000004</v>
      </c>
      <c r="H29" s="111">
        <f t="shared" si="4"/>
        <v>7044.9000000000005</v>
      </c>
      <c r="I29" s="291">
        <f t="shared" si="5"/>
        <v>5958.9000000000005</v>
      </c>
      <c r="J29" s="296">
        <v>1086</v>
      </c>
      <c r="K29" s="111">
        <f t="shared" si="0"/>
        <v>5970.2542372881362</v>
      </c>
      <c r="M29" s="294">
        <v>4414</v>
      </c>
    </row>
    <row r="30" spans="1:13" ht="15.75" customHeight="1" thickBot="1" x14ac:dyDescent="0.25">
      <c r="A30" s="725"/>
      <c r="B30" s="173" t="s">
        <v>477</v>
      </c>
      <c r="C30" s="174" t="s">
        <v>449</v>
      </c>
      <c r="D30" s="279" t="s">
        <v>450</v>
      </c>
      <c r="E30" s="218">
        <f t="shared" si="1"/>
        <v>18784.5</v>
      </c>
      <c r="F30" s="218">
        <f t="shared" si="2"/>
        <v>14759.250000000002</v>
      </c>
      <c r="G30" s="218">
        <f t="shared" si="3"/>
        <v>14088.375</v>
      </c>
      <c r="H30" s="111">
        <f t="shared" si="4"/>
        <v>13417.5</v>
      </c>
      <c r="I30" s="291">
        <f t="shared" si="5"/>
        <v>11029.5</v>
      </c>
      <c r="J30" s="296">
        <v>2388</v>
      </c>
      <c r="K30" s="111">
        <f t="shared" si="0"/>
        <v>11370.762711864407</v>
      </c>
      <c r="M30" s="294">
        <v>8170</v>
      </c>
    </row>
    <row r="31" spans="1:13" ht="13.5" thickTop="1" x14ac:dyDescent="0.2">
      <c r="A31" s="717" t="s">
        <v>134</v>
      </c>
      <c r="B31" s="160" t="s">
        <v>42</v>
      </c>
      <c r="C31" s="181" t="s">
        <v>61</v>
      </c>
      <c r="D31" s="278"/>
      <c r="E31" s="218">
        <f t="shared" si="1"/>
        <v>4035.1499999999996</v>
      </c>
      <c r="F31" s="218">
        <f t="shared" si="2"/>
        <v>3170.4750000000004</v>
      </c>
      <c r="G31" s="218">
        <f t="shared" si="3"/>
        <v>3026.3625000000002</v>
      </c>
      <c r="H31" s="111">
        <f t="shared" si="4"/>
        <v>2882.25</v>
      </c>
      <c r="I31" s="291">
        <f t="shared" si="5"/>
        <v>2882.25</v>
      </c>
      <c r="J31" s="296"/>
      <c r="K31" s="111">
        <f t="shared" si="0"/>
        <v>2442.5847457627119</v>
      </c>
      <c r="M31" s="294">
        <v>2135</v>
      </c>
    </row>
    <row r="32" spans="1:13" ht="12.75" x14ac:dyDescent="0.2">
      <c r="A32" s="710"/>
      <c r="B32" s="14" t="s">
        <v>393</v>
      </c>
      <c r="C32" s="7" t="s">
        <v>80</v>
      </c>
      <c r="D32" s="277"/>
      <c r="E32" s="218">
        <f t="shared" si="1"/>
        <v>12757.5</v>
      </c>
      <c r="F32" s="218">
        <f t="shared" si="2"/>
        <v>10023.75</v>
      </c>
      <c r="G32" s="218">
        <f t="shared" si="3"/>
        <v>9568.125</v>
      </c>
      <c r="H32" s="111">
        <f t="shared" si="4"/>
        <v>9112.5</v>
      </c>
      <c r="I32" s="291">
        <f t="shared" si="5"/>
        <v>9112.5</v>
      </c>
      <c r="J32" s="296"/>
      <c r="K32" s="111">
        <f t="shared" si="0"/>
        <v>7722.4576271186443</v>
      </c>
      <c r="M32" s="294">
        <v>6750</v>
      </c>
    </row>
    <row r="33" spans="1:13" ht="15" customHeight="1" thickBot="1" x14ac:dyDescent="0.25">
      <c r="A33" s="718"/>
      <c r="B33" s="173" t="s">
        <v>341</v>
      </c>
      <c r="C33" s="174" t="s">
        <v>93</v>
      </c>
      <c r="D33" s="256" t="s">
        <v>280</v>
      </c>
      <c r="E33" s="218">
        <f t="shared" si="1"/>
        <v>16136.68</v>
      </c>
      <c r="F33" s="218">
        <f t="shared" si="2"/>
        <v>12678.820000000002</v>
      </c>
      <c r="G33" s="218">
        <f t="shared" si="3"/>
        <v>12102.510000000002</v>
      </c>
      <c r="H33" s="111">
        <f t="shared" si="4"/>
        <v>11526.2</v>
      </c>
      <c r="I33" s="291">
        <f t="shared" si="5"/>
        <v>9628.2000000000007</v>
      </c>
      <c r="J33" s="296">
        <v>1898</v>
      </c>
      <c r="K33" s="111">
        <f t="shared" si="0"/>
        <v>9767.9661016949158</v>
      </c>
      <c r="M33" s="294">
        <v>7132</v>
      </c>
    </row>
    <row r="34" spans="1:13" ht="17.25" thickTop="1" thickBot="1" x14ac:dyDescent="0.3">
      <c r="A34" s="146" t="s">
        <v>152</v>
      </c>
      <c r="B34" s="147" t="s">
        <v>27</v>
      </c>
      <c r="C34" s="148" t="s">
        <v>166</v>
      </c>
      <c r="D34" s="276"/>
      <c r="E34" s="218">
        <f t="shared" si="1"/>
        <v>1001.6999999999999</v>
      </c>
      <c r="F34" s="218">
        <f t="shared" si="2"/>
        <v>787.05000000000007</v>
      </c>
      <c r="G34" s="218">
        <f t="shared" si="3"/>
        <v>751.27499999999998</v>
      </c>
      <c r="H34" s="111">
        <f t="shared" si="4"/>
        <v>715.5</v>
      </c>
      <c r="I34" s="291">
        <f t="shared" si="5"/>
        <v>715.5</v>
      </c>
      <c r="J34" s="296"/>
      <c r="K34" s="111">
        <f t="shared" si="0"/>
        <v>606.3559322033899</v>
      </c>
      <c r="M34" s="294">
        <v>530</v>
      </c>
    </row>
    <row r="35" spans="1:13" ht="13.5" customHeight="1" thickTop="1" x14ac:dyDescent="0.2">
      <c r="A35" s="724" t="s">
        <v>541</v>
      </c>
      <c r="B35" s="160" t="s">
        <v>539</v>
      </c>
      <c r="C35" s="181" t="s">
        <v>62</v>
      </c>
      <c r="D35" s="278"/>
      <c r="E35" s="218">
        <f t="shared" si="1"/>
        <v>4144</v>
      </c>
      <c r="F35" s="218">
        <f t="shared" si="2"/>
        <v>3256.0000000000005</v>
      </c>
      <c r="G35" s="218">
        <f t="shared" si="3"/>
        <v>3108</v>
      </c>
      <c r="H35" s="111">
        <f t="shared" si="4"/>
        <v>2960</v>
      </c>
      <c r="I35" s="291">
        <v>2960</v>
      </c>
      <c r="J35" s="296"/>
      <c r="K35" s="111">
        <f t="shared" si="0"/>
        <v>2508.4745762711864</v>
      </c>
      <c r="M35" s="294">
        <v>2650</v>
      </c>
    </row>
    <row r="36" spans="1:13" ht="17.25" customHeight="1" thickBot="1" x14ac:dyDescent="0.25">
      <c r="A36" s="725"/>
      <c r="B36" s="173" t="s">
        <v>540</v>
      </c>
      <c r="C36" s="174" t="s">
        <v>104</v>
      </c>
      <c r="D36" s="256" t="s">
        <v>285</v>
      </c>
      <c r="E36" s="218">
        <f t="shared" si="1"/>
        <v>5467</v>
      </c>
      <c r="F36" s="218">
        <f t="shared" si="2"/>
        <v>4295.5</v>
      </c>
      <c r="G36" s="218">
        <f t="shared" si="3"/>
        <v>4100.25</v>
      </c>
      <c r="H36" s="111">
        <f t="shared" si="4"/>
        <v>3905</v>
      </c>
      <c r="I36" s="291">
        <v>2700</v>
      </c>
      <c r="J36" s="296">
        <v>1205</v>
      </c>
      <c r="K36" s="111">
        <f t="shared" si="0"/>
        <v>3309.3220338983051</v>
      </c>
      <c r="M36" s="294">
        <v>2200</v>
      </c>
    </row>
    <row r="37" spans="1:13" ht="13.5" thickTop="1" x14ac:dyDescent="0.2">
      <c r="A37" s="717" t="s">
        <v>137</v>
      </c>
      <c r="B37" s="160" t="s">
        <v>177</v>
      </c>
      <c r="C37" s="161" t="s">
        <v>1</v>
      </c>
      <c r="D37" s="260"/>
      <c r="E37" s="218">
        <f t="shared" si="1"/>
        <v>5389.9999999999991</v>
      </c>
      <c r="F37" s="218">
        <f t="shared" si="2"/>
        <v>4235</v>
      </c>
      <c r="G37" s="218">
        <f t="shared" si="3"/>
        <v>4042.4999999999995</v>
      </c>
      <c r="H37" s="111">
        <f t="shared" si="4"/>
        <v>3849.9999999999995</v>
      </c>
      <c r="I37" s="291">
        <f>M37*1.4</f>
        <v>3849.9999999999995</v>
      </c>
      <c r="J37" s="296"/>
      <c r="K37" s="111">
        <f t="shared" si="0"/>
        <v>3262.7118644067796</v>
      </c>
      <c r="M37" s="294">
        <v>2750</v>
      </c>
    </row>
    <row r="38" spans="1:13" ht="12.75" x14ac:dyDescent="0.2">
      <c r="A38" s="710"/>
      <c r="B38" s="14" t="s">
        <v>171</v>
      </c>
      <c r="C38" s="8" t="s">
        <v>1</v>
      </c>
      <c r="D38" s="262"/>
      <c r="E38" s="218">
        <f t="shared" si="1"/>
        <v>6468</v>
      </c>
      <c r="F38" s="218">
        <f t="shared" si="2"/>
        <v>5082</v>
      </c>
      <c r="G38" s="218">
        <f t="shared" si="3"/>
        <v>4851</v>
      </c>
      <c r="H38" s="111">
        <f t="shared" si="4"/>
        <v>4620</v>
      </c>
      <c r="I38" s="291">
        <f t="shared" ref="I38:I58" si="6">M38*1.4</f>
        <v>4620</v>
      </c>
      <c r="J38" s="296"/>
      <c r="K38" s="111">
        <f t="shared" si="0"/>
        <v>3915.2542372881358</v>
      </c>
      <c r="M38" s="294">
        <v>3300</v>
      </c>
    </row>
    <row r="39" spans="1:13" ht="12.75" x14ac:dyDescent="0.2">
      <c r="A39" s="710"/>
      <c r="B39" s="14" t="s">
        <v>175</v>
      </c>
      <c r="C39" s="8" t="s">
        <v>2</v>
      </c>
      <c r="D39" s="262"/>
      <c r="E39" s="218">
        <f t="shared" si="1"/>
        <v>6144.5999999999995</v>
      </c>
      <c r="F39" s="218">
        <f t="shared" si="2"/>
        <v>4827.9000000000005</v>
      </c>
      <c r="G39" s="218">
        <f t="shared" si="3"/>
        <v>4608.45</v>
      </c>
      <c r="H39" s="111">
        <f t="shared" si="4"/>
        <v>4389</v>
      </c>
      <c r="I39" s="291">
        <f t="shared" si="6"/>
        <v>4389</v>
      </c>
      <c r="J39" s="296"/>
      <c r="K39" s="111">
        <f t="shared" si="0"/>
        <v>3719.4915254237289</v>
      </c>
      <c r="M39" s="294">
        <v>3135.0000000000005</v>
      </c>
    </row>
    <row r="40" spans="1:13" ht="12.75" x14ac:dyDescent="0.2">
      <c r="A40" s="710"/>
      <c r="B40" s="14" t="s">
        <v>172</v>
      </c>
      <c r="C40" s="8" t="s">
        <v>2</v>
      </c>
      <c r="D40" s="262"/>
      <c r="E40" s="218">
        <f t="shared" si="1"/>
        <v>7408.7999999999993</v>
      </c>
      <c r="F40" s="218">
        <f t="shared" si="2"/>
        <v>5821.2000000000007</v>
      </c>
      <c r="G40" s="218">
        <f t="shared" si="3"/>
        <v>5556.6</v>
      </c>
      <c r="H40" s="111">
        <f t="shared" si="4"/>
        <v>5292</v>
      </c>
      <c r="I40" s="291">
        <f t="shared" si="6"/>
        <v>5292</v>
      </c>
      <c r="J40" s="296"/>
      <c r="K40" s="111">
        <f t="shared" si="0"/>
        <v>4484.7457627118647</v>
      </c>
      <c r="M40" s="294">
        <v>3780</v>
      </c>
    </row>
    <row r="41" spans="1:13" ht="12.75" x14ac:dyDescent="0.2">
      <c r="A41" s="710"/>
      <c r="B41" s="14" t="s">
        <v>176</v>
      </c>
      <c r="C41" s="8" t="s">
        <v>3</v>
      </c>
      <c r="D41" s="262"/>
      <c r="E41" s="218">
        <f t="shared" si="1"/>
        <v>7222.5999999999995</v>
      </c>
      <c r="F41" s="218">
        <f t="shared" si="2"/>
        <v>5674.9000000000005</v>
      </c>
      <c r="G41" s="218">
        <f t="shared" si="3"/>
        <v>5416.95</v>
      </c>
      <c r="H41" s="111">
        <f t="shared" si="4"/>
        <v>5159</v>
      </c>
      <c r="I41" s="291">
        <f t="shared" si="6"/>
        <v>5159</v>
      </c>
      <c r="J41" s="296"/>
      <c r="K41" s="111">
        <f t="shared" si="0"/>
        <v>4372.0338983050851</v>
      </c>
      <c r="M41" s="294">
        <v>3685.0000000000005</v>
      </c>
    </row>
    <row r="42" spans="1:13" ht="12.75" x14ac:dyDescent="0.2">
      <c r="A42" s="710"/>
      <c r="B42" s="14" t="s">
        <v>173</v>
      </c>
      <c r="C42" s="8" t="s">
        <v>3</v>
      </c>
      <c r="D42" s="262"/>
      <c r="E42" s="218">
        <f t="shared" si="1"/>
        <v>8692.5999999999985</v>
      </c>
      <c r="F42" s="218">
        <f t="shared" si="2"/>
        <v>6829.9000000000005</v>
      </c>
      <c r="G42" s="218">
        <f t="shared" si="3"/>
        <v>6519.4500000000007</v>
      </c>
      <c r="H42" s="111">
        <f t="shared" si="4"/>
        <v>6209</v>
      </c>
      <c r="I42" s="291">
        <f t="shared" si="6"/>
        <v>6209</v>
      </c>
      <c r="J42" s="296"/>
      <c r="K42" s="111">
        <f t="shared" si="0"/>
        <v>5261.8644067796613</v>
      </c>
      <c r="M42" s="294">
        <v>4435</v>
      </c>
    </row>
    <row r="43" spans="1:13" ht="12.75" x14ac:dyDescent="0.2">
      <c r="A43" s="710"/>
      <c r="B43" s="14" t="s">
        <v>168</v>
      </c>
      <c r="C43" s="8" t="s">
        <v>4</v>
      </c>
      <c r="D43" s="262"/>
      <c r="E43" s="218">
        <f t="shared" si="1"/>
        <v>9917.5999999999985</v>
      </c>
      <c r="F43" s="218">
        <f t="shared" si="2"/>
        <v>7792.4000000000005</v>
      </c>
      <c r="G43" s="218">
        <f t="shared" si="3"/>
        <v>7438.2000000000007</v>
      </c>
      <c r="H43" s="111">
        <f t="shared" si="4"/>
        <v>7084</v>
      </c>
      <c r="I43" s="291">
        <f t="shared" si="6"/>
        <v>7084</v>
      </c>
      <c r="J43" s="296"/>
      <c r="K43" s="111">
        <f t="shared" si="0"/>
        <v>6003.3898305084749</v>
      </c>
      <c r="M43" s="294">
        <v>5060</v>
      </c>
    </row>
    <row r="44" spans="1:13" ht="12.75" x14ac:dyDescent="0.2">
      <c r="A44" s="710"/>
      <c r="B44" s="14" t="s">
        <v>169</v>
      </c>
      <c r="C44" s="8" t="s">
        <v>4</v>
      </c>
      <c r="D44" s="262"/>
      <c r="E44" s="218">
        <f t="shared" si="1"/>
        <v>11926.599999999999</v>
      </c>
      <c r="F44" s="218">
        <f t="shared" si="2"/>
        <v>9370.9000000000015</v>
      </c>
      <c r="G44" s="218">
        <f t="shared" si="3"/>
        <v>8944.9500000000007</v>
      </c>
      <c r="H44" s="111">
        <f t="shared" si="4"/>
        <v>8519</v>
      </c>
      <c r="I44" s="291">
        <f t="shared" si="6"/>
        <v>8519</v>
      </c>
      <c r="J44" s="296"/>
      <c r="K44" s="111">
        <f t="shared" si="0"/>
        <v>7219.4915254237294</v>
      </c>
      <c r="M44" s="294">
        <v>6085</v>
      </c>
    </row>
    <row r="45" spans="1:13" ht="12.75" x14ac:dyDescent="0.2">
      <c r="A45" s="710"/>
      <c r="B45" s="14" t="s">
        <v>174</v>
      </c>
      <c r="C45" s="8" t="s">
        <v>5</v>
      </c>
      <c r="D45" s="262"/>
      <c r="E45" s="218">
        <f t="shared" si="1"/>
        <v>10779.999999999998</v>
      </c>
      <c r="F45" s="218">
        <f t="shared" si="2"/>
        <v>8470</v>
      </c>
      <c r="G45" s="218">
        <f t="shared" si="3"/>
        <v>8084.9999999999991</v>
      </c>
      <c r="H45" s="111">
        <f t="shared" si="4"/>
        <v>7699.9999999999991</v>
      </c>
      <c r="I45" s="291">
        <f t="shared" si="6"/>
        <v>7699.9999999999991</v>
      </c>
      <c r="J45" s="296"/>
      <c r="K45" s="111">
        <f t="shared" si="0"/>
        <v>6525.4237288135591</v>
      </c>
      <c r="M45" s="294">
        <v>5500</v>
      </c>
    </row>
    <row r="46" spans="1:13" ht="12.75" x14ac:dyDescent="0.2">
      <c r="A46" s="710"/>
      <c r="B46" s="14" t="s">
        <v>170</v>
      </c>
      <c r="C46" s="8" t="s">
        <v>5</v>
      </c>
      <c r="D46" s="262"/>
      <c r="E46" s="218">
        <f t="shared" si="1"/>
        <v>12965.4</v>
      </c>
      <c r="F46" s="218">
        <f t="shared" si="2"/>
        <v>10187.1</v>
      </c>
      <c r="G46" s="218">
        <f t="shared" si="3"/>
        <v>9724.0500000000011</v>
      </c>
      <c r="H46" s="111">
        <f t="shared" si="4"/>
        <v>9261</v>
      </c>
      <c r="I46" s="291">
        <f t="shared" si="6"/>
        <v>9261</v>
      </c>
      <c r="J46" s="296"/>
      <c r="K46" s="111">
        <f t="shared" si="0"/>
        <v>7848.3050847457635</v>
      </c>
      <c r="M46" s="294">
        <v>6615</v>
      </c>
    </row>
    <row r="47" spans="1:13" ht="12.75" x14ac:dyDescent="0.2">
      <c r="A47" s="710"/>
      <c r="B47" s="14" t="s">
        <v>373</v>
      </c>
      <c r="C47" s="7" t="s">
        <v>75</v>
      </c>
      <c r="D47" s="277"/>
      <c r="E47" s="218">
        <f t="shared" si="1"/>
        <v>16169.999999999998</v>
      </c>
      <c r="F47" s="218">
        <f t="shared" si="2"/>
        <v>12705.000000000002</v>
      </c>
      <c r="G47" s="218">
        <f t="shared" si="3"/>
        <v>12127.5</v>
      </c>
      <c r="H47" s="111">
        <f t="shared" si="4"/>
        <v>11550</v>
      </c>
      <c r="I47" s="291">
        <f t="shared" si="6"/>
        <v>11550</v>
      </c>
      <c r="J47" s="296"/>
      <c r="K47" s="111">
        <f t="shared" si="0"/>
        <v>9788.1355932203387</v>
      </c>
      <c r="M47" s="294">
        <v>8250</v>
      </c>
    </row>
    <row r="48" spans="1:13" ht="12.75" x14ac:dyDescent="0.2">
      <c r="A48" s="710"/>
      <c r="B48" s="14" t="s">
        <v>374</v>
      </c>
      <c r="C48" s="7" t="s">
        <v>75</v>
      </c>
      <c r="D48" s="277"/>
      <c r="E48" s="218">
        <f t="shared" si="1"/>
        <v>18141.759999999998</v>
      </c>
      <c r="F48" s="218">
        <f t="shared" si="2"/>
        <v>14254.240000000002</v>
      </c>
      <c r="G48" s="218">
        <f t="shared" si="3"/>
        <v>13606.32</v>
      </c>
      <c r="H48" s="111">
        <f t="shared" si="4"/>
        <v>12958.4</v>
      </c>
      <c r="I48" s="291">
        <f t="shared" si="6"/>
        <v>12958.4</v>
      </c>
      <c r="J48" s="296"/>
      <c r="K48" s="111">
        <f t="shared" si="0"/>
        <v>10981.694915254238</v>
      </c>
      <c r="M48" s="294">
        <v>9256</v>
      </c>
    </row>
    <row r="49" spans="1:13" ht="18.75" customHeight="1" x14ac:dyDescent="0.2">
      <c r="A49" s="710"/>
      <c r="B49" s="14" t="s">
        <v>227</v>
      </c>
      <c r="C49" s="7" t="s">
        <v>89</v>
      </c>
      <c r="D49" s="261" t="s">
        <v>285</v>
      </c>
      <c r="E49" s="218">
        <f t="shared" si="1"/>
        <v>10213</v>
      </c>
      <c r="F49" s="218">
        <f t="shared" si="2"/>
        <v>8024.5000000000009</v>
      </c>
      <c r="G49" s="218">
        <f t="shared" si="3"/>
        <v>7659.75</v>
      </c>
      <c r="H49" s="111">
        <f t="shared" si="4"/>
        <v>7295</v>
      </c>
      <c r="I49" s="291">
        <f t="shared" si="6"/>
        <v>6090</v>
      </c>
      <c r="J49" s="296">
        <v>1205</v>
      </c>
      <c r="K49" s="111">
        <f t="shared" si="0"/>
        <v>6182.203389830509</v>
      </c>
      <c r="M49" s="294">
        <v>4350</v>
      </c>
    </row>
    <row r="50" spans="1:13" ht="19.5" customHeight="1" x14ac:dyDescent="0.2">
      <c r="A50" s="710"/>
      <c r="B50" s="14" t="s">
        <v>232</v>
      </c>
      <c r="C50" s="7" t="s">
        <v>89</v>
      </c>
      <c r="D50" s="261" t="s">
        <v>285</v>
      </c>
      <c r="E50" s="218">
        <f t="shared" si="1"/>
        <v>12398.4</v>
      </c>
      <c r="F50" s="218">
        <f t="shared" si="2"/>
        <v>9741.6</v>
      </c>
      <c r="G50" s="218">
        <f t="shared" si="3"/>
        <v>9298.8000000000011</v>
      </c>
      <c r="H50" s="111">
        <f t="shared" si="4"/>
        <v>8856</v>
      </c>
      <c r="I50" s="291">
        <f t="shared" si="6"/>
        <v>7650.9999999999991</v>
      </c>
      <c r="J50" s="296">
        <v>1205</v>
      </c>
      <c r="K50" s="111">
        <f t="shared" si="0"/>
        <v>7505.0847457627124</v>
      </c>
      <c r="M50" s="294">
        <v>5465</v>
      </c>
    </row>
    <row r="51" spans="1:13" ht="24.75" customHeight="1" x14ac:dyDescent="0.2">
      <c r="A51" s="710"/>
      <c r="B51" s="14" t="s">
        <v>228</v>
      </c>
      <c r="C51" s="7" t="s">
        <v>90</v>
      </c>
      <c r="D51" s="261" t="s">
        <v>286</v>
      </c>
      <c r="E51" s="218">
        <f t="shared" si="1"/>
        <v>10822</v>
      </c>
      <c r="F51" s="218">
        <f t="shared" si="2"/>
        <v>8503</v>
      </c>
      <c r="G51" s="218">
        <f t="shared" si="3"/>
        <v>8116.5</v>
      </c>
      <c r="H51" s="111">
        <f t="shared" si="4"/>
        <v>7730</v>
      </c>
      <c r="I51" s="291">
        <f t="shared" si="6"/>
        <v>6440</v>
      </c>
      <c r="J51" s="296">
        <v>1290</v>
      </c>
      <c r="K51" s="111">
        <f t="shared" si="0"/>
        <v>6550.8474576271192</v>
      </c>
      <c r="M51" s="294">
        <v>4600</v>
      </c>
    </row>
    <row r="52" spans="1:13" ht="25.5" customHeight="1" x14ac:dyDescent="0.2">
      <c r="A52" s="710"/>
      <c r="B52" s="14" t="s">
        <v>233</v>
      </c>
      <c r="C52" s="7" t="s">
        <v>90</v>
      </c>
      <c r="D52" s="261" t="s">
        <v>286</v>
      </c>
      <c r="E52" s="218">
        <f t="shared" si="1"/>
        <v>13134.8</v>
      </c>
      <c r="F52" s="218">
        <f t="shared" si="2"/>
        <v>10320.200000000001</v>
      </c>
      <c r="G52" s="218">
        <f t="shared" si="3"/>
        <v>9851.1</v>
      </c>
      <c r="H52" s="111">
        <f t="shared" si="4"/>
        <v>9382</v>
      </c>
      <c r="I52" s="291">
        <f t="shared" si="6"/>
        <v>8091.9999999999991</v>
      </c>
      <c r="J52" s="296">
        <v>1290</v>
      </c>
      <c r="K52" s="111">
        <f t="shared" si="0"/>
        <v>7950.8474576271192</v>
      </c>
      <c r="M52" s="294">
        <v>5780</v>
      </c>
    </row>
    <row r="53" spans="1:13" ht="24.75" customHeight="1" x14ac:dyDescent="0.2">
      <c r="A53" s="710"/>
      <c r="B53" s="14" t="s">
        <v>229</v>
      </c>
      <c r="C53" s="7" t="s">
        <v>91</v>
      </c>
      <c r="D53" s="261" t="s">
        <v>287</v>
      </c>
      <c r="E53" s="218">
        <f t="shared" si="1"/>
        <v>14289.8</v>
      </c>
      <c r="F53" s="218">
        <f t="shared" si="2"/>
        <v>11227.7</v>
      </c>
      <c r="G53" s="218">
        <f t="shared" si="3"/>
        <v>10717.35</v>
      </c>
      <c r="H53" s="111">
        <f t="shared" si="4"/>
        <v>10207</v>
      </c>
      <c r="I53" s="291">
        <f t="shared" si="6"/>
        <v>7818.9999999999991</v>
      </c>
      <c r="J53" s="296">
        <v>2388</v>
      </c>
      <c r="K53" s="111">
        <f t="shared" si="0"/>
        <v>8650</v>
      </c>
      <c r="M53" s="294">
        <v>5585</v>
      </c>
    </row>
    <row r="54" spans="1:13" ht="24" customHeight="1" x14ac:dyDescent="0.2">
      <c r="A54" s="710"/>
      <c r="B54" s="14" t="s">
        <v>234</v>
      </c>
      <c r="C54" s="7" t="s">
        <v>91</v>
      </c>
      <c r="D54" s="261" t="s">
        <v>287</v>
      </c>
      <c r="E54" s="218">
        <f t="shared" si="1"/>
        <v>17416</v>
      </c>
      <c r="F54" s="218">
        <f t="shared" si="2"/>
        <v>13684.000000000002</v>
      </c>
      <c r="G54" s="218">
        <f t="shared" si="3"/>
        <v>13062</v>
      </c>
      <c r="H54" s="111">
        <f t="shared" si="4"/>
        <v>12440</v>
      </c>
      <c r="I54" s="291">
        <f t="shared" si="6"/>
        <v>10052</v>
      </c>
      <c r="J54" s="296">
        <v>2388</v>
      </c>
      <c r="K54" s="111">
        <f t="shared" si="0"/>
        <v>10542.372881355932</v>
      </c>
      <c r="M54" s="294">
        <v>7180</v>
      </c>
    </row>
    <row r="55" spans="1:13" ht="26.25" customHeight="1" x14ac:dyDescent="0.2">
      <c r="A55" s="710"/>
      <c r="B55" s="14" t="s">
        <v>225</v>
      </c>
      <c r="C55" s="7" t="s">
        <v>87</v>
      </c>
      <c r="D55" s="261" t="s">
        <v>288</v>
      </c>
      <c r="E55" s="218">
        <f t="shared" si="1"/>
        <v>17702.16</v>
      </c>
      <c r="F55" s="218">
        <f t="shared" si="2"/>
        <v>13908.84</v>
      </c>
      <c r="G55" s="218">
        <f t="shared" si="3"/>
        <v>13276.62</v>
      </c>
      <c r="H55" s="111">
        <f t="shared" si="4"/>
        <v>12644.4</v>
      </c>
      <c r="I55" s="291">
        <f t="shared" si="6"/>
        <v>9948.4</v>
      </c>
      <c r="J55" s="296">
        <v>2696</v>
      </c>
      <c r="K55" s="111">
        <f t="shared" si="0"/>
        <v>10715.593220338984</v>
      </c>
      <c r="M55" s="294">
        <v>7106</v>
      </c>
    </row>
    <row r="56" spans="1:13" ht="27" customHeight="1" x14ac:dyDescent="0.2">
      <c r="A56" s="710"/>
      <c r="B56" s="14" t="s">
        <v>230</v>
      </c>
      <c r="C56" s="7" t="s">
        <v>87</v>
      </c>
      <c r="D56" s="261" t="s">
        <v>288</v>
      </c>
      <c r="E56" s="218">
        <f t="shared" si="1"/>
        <v>21539.839999999997</v>
      </c>
      <c r="F56" s="218">
        <f t="shared" si="2"/>
        <v>16924.16</v>
      </c>
      <c r="G56" s="218">
        <f t="shared" si="3"/>
        <v>16154.88</v>
      </c>
      <c r="H56" s="111">
        <f t="shared" si="4"/>
        <v>15385.599999999999</v>
      </c>
      <c r="I56" s="291">
        <f t="shared" si="6"/>
        <v>12689.599999999999</v>
      </c>
      <c r="J56" s="296">
        <v>2696</v>
      </c>
      <c r="K56" s="111">
        <f t="shared" si="0"/>
        <v>13038.644067796609</v>
      </c>
      <c r="M56" s="294">
        <v>9064</v>
      </c>
    </row>
    <row r="57" spans="1:13" ht="15.75" customHeight="1" x14ac:dyDescent="0.2">
      <c r="A57" s="710"/>
      <c r="B57" s="14" t="s">
        <v>226</v>
      </c>
      <c r="C57" s="7" t="s">
        <v>88</v>
      </c>
      <c r="D57" s="261" t="s">
        <v>289</v>
      </c>
      <c r="E57" s="218">
        <f t="shared" si="1"/>
        <v>26813.416000000001</v>
      </c>
      <c r="F57" s="218">
        <f t="shared" si="2"/>
        <v>21067.684000000005</v>
      </c>
      <c r="G57" s="218">
        <f t="shared" si="3"/>
        <v>20110.062000000002</v>
      </c>
      <c r="H57" s="111">
        <f t="shared" si="4"/>
        <v>19152.440000000002</v>
      </c>
      <c r="I57" s="291">
        <f t="shared" si="6"/>
        <v>11307.800000000001</v>
      </c>
      <c r="J57" s="296">
        <v>7844.64</v>
      </c>
      <c r="K57" s="111">
        <f t="shared" si="0"/>
        <v>16230.881355932206</v>
      </c>
      <c r="M57" s="294">
        <v>8077.0000000000018</v>
      </c>
    </row>
    <row r="58" spans="1:13" ht="15.75" customHeight="1" thickBot="1" x14ac:dyDescent="0.25">
      <c r="A58" s="718"/>
      <c r="B58" s="173" t="s">
        <v>231</v>
      </c>
      <c r="C58" s="174" t="s">
        <v>88</v>
      </c>
      <c r="D58" s="256" t="s">
        <v>289</v>
      </c>
      <c r="E58" s="218">
        <f t="shared" si="1"/>
        <v>32918.815999999999</v>
      </c>
      <c r="F58" s="218">
        <f t="shared" si="2"/>
        <v>25864.784</v>
      </c>
      <c r="G58" s="218">
        <f t="shared" si="3"/>
        <v>24689.112000000001</v>
      </c>
      <c r="H58" s="111">
        <f t="shared" si="4"/>
        <v>23513.439999999999</v>
      </c>
      <c r="I58" s="291">
        <f t="shared" si="6"/>
        <v>15668.8</v>
      </c>
      <c r="J58" s="296">
        <v>7844.64</v>
      </c>
      <c r="K58" s="111">
        <f t="shared" si="0"/>
        <v>19926.644067796609</v>
      </c>
      <c r="M58" s="294">
        <v>11192</v>
      </c>
    </row>
    <row r="59" spans="1:13" ht="13.5" thickTop="1" x14ac:dyDescent="0.2">
      <c r="A59" s="716" t="s">
        <v>138</v>
      </c>
      <c r="B59" s="21" t="s">
        <v>406</v>
      </c>
      <c r="C59" s="145" t="s">
        <v>10</v>
      </c>
      <c r="D59" s="264"/>
      <c r="E59" s="218">
        <f t="shared" si="1"/>
        <v>4261.95</v>
      </c>
      <c r="F59" s="218">
        <f t="shared" si="2"/>
        <v>3348.6750000000002</v>
      </c>
      <c r="G59" s="218">
        <f t="shared" si="3"/>
        <v>3196.4625000000001</v>
      </c>
      <c r="H59" s="111">
        <f t="shared" si="4"/>
        <v>3044.25</v>
      </c>
      <c r="I59" s="291">
        <f>M59*1.35</f>
        <v>3044.25</v>
      </c>
      <c r="J59" s="296"/>
      <c r="K59" s="111">
        <f t="shared" si="0"/>
        <v>2579.8728813559323</v>
      </c>
      <c r="M59" s="294">
        <v>2255</v>
      </c>
    </row>
    <row r="60" spans="1:13" ht="12.75" x14ac:dyDescent="0.2">
      <c r="A60" s="710"/>
      <c r="B60" s="14" t="s">
        <v>407</v>
      </c>
      <c r="C60" s="8" t="s">
        <v>11</v>
      </c>
      <c r="D60" s="262"/>
      <c r="E60" s="218">
        <f t="shared" si="1"/>
        <v>4573.7999999999993</v>
      </c>
      <c r="F60" s="218">
        <f t="shared" si="2"/>
        <v>3593.7000000000003</v>
      </c>
      <c r="G60" s="218">
        <f t="shared" si="3"/>
        <v>3430.3500000000004</v>
      </c>
      <c r="H60" s="111">
        <f t="shared" si="4"/>
        <v>3267</v>
      </c>
      <c r="I60" s="291">
        <f t="shared" ref="I60:I131" si="7">M60*1.35</f>
        <v>3267</v>
      </c>
      <c r="J60" s="296"/>
      <c r="K60" s="111">
        <f t="shared" si="0"/>
        <v>2768.6440677966102</v>
      </c>
      <c r="M60" s="294">
        <v>2420</v>
      </c>
    </row>
    <row r="61" spans="1:13" ht="12.75" x14ac:dyDescent="0.2">
      <c r="A61" s="710"/>
      <c r="B61" s="14" t="s">
        <v>28</v>
      </c>
      <c r="C61" s="8" t="s">
        <v>11</v>
      </c>
      <c r="D61" s="262"/>
      <c r="E61" s="218">
        <f t="shared" si="1"/>
        <v>6029.1000000000013</v>
      </c>
      <c r="F61" s="218">
        <f t="shared" si="2"/>
        <v>4737.1500000000015</v>
      </c>
      <c r="G61" s="218">
        <f t="shared" si="3"/>
        <v>4521.8250000000007</v>
      </c>
      <c r="H61" s="111">
        <f t="shared" si="4"/>
        <v>4306.5000000000009</v>
      </c>
      <c r="I61" s="291">
        <f t="shared" si="7"/>
        <v>4306.5000000000009</v>
      </c>
      <c r="J61" s="296"/>
      <c r="K61" s="111">
        <f t="shared" si="0"/>
        <v>3649.5762711864418</v>
      </c>
      <c r="M61" s="294">
        <v>3190.0000000000005</v>
      </c>
    </row>
    <row r="62" spans="1:13" ht="12.75" x14ac:dyDescent="0.2">
      <c r="A62" s="710"/>
      <c r="B62" s="14" t="s">
        <v>408</v>
      </c>
      <c r="C62" s="7" t="s">
        <v>83</v>
      </c>
      <c r="D62" s="277"/>
      <c r="E62" s="218">
        <f t="shared" si="1"/>
        <v>10706.850000000002</v>
      </c>
      <c r="F62" s="218">
        <f t="shared" si="2"/>
        <v>8412.5250000000033</v>
      </c>
      <c r="G62" s="218">
        <f t="shared" si="3"/>
        <v>8030.1375000000025</v>
      </c>
      <c r="H62" s="111">
        <f t="shared" si="4"/>
        <v>7647.7500000000018</v>
      </c>
      <c r="I62" s="291">
        <f t="shared" si="7"/>
        <v>7647.7500000000018</v>
      </c>
      <c r="J62" s="296"/>
      <c r="K62" s="111">
        <f t="shared" si="0"/>
        <v>6481.144067796612</v>
      </c>
      <c r="M62" s="294">
        <v>5665.0000000000009</v>
      </c>
    </row>
    <row r="63" spans="1:13" ht="12.75" x14ac:dyDescent="0.2">
      <c r="A63" s="710"/>
      <c r="B63" s="14" t="s">
        <v>32</v>
      </c>
      <c r="C63" s="7" t="s">
        <v>92</v>
      </c>
      <c r="D63" s="261" t="s">
        <v>281</v>
      </c>
      <c r="E63" s="218">
        <f t="shared" si="1"/>
        <v>10161.830000000002</v>
      </c>
      <c r="F63" s="218">
        <f t="shared" si="2"/>
        <v>7984.2950000000028</v>
      </c>
      <c r="G63" s="218">
        <f t="shared" si="3"/>
        <v>7621.3725000000022</v>
      </c>
      <c r="H63" s="111">
        <f t="shared" si="4"/>
        <v>7258.4500000000016</v>
      </c>
      <c r="I63" s="291">
        <f t="shared" si="7"/>
        <v>4275.4500000000016</v>
      </c>
      <c r="J63" s="296">
        <v>2983</v>
      </c>
      <c r="K63" s="111">
        <f t="shared" si="0"/>
        <v>6151.2288135593235</v>
      </c>
      <c r="M63" s="294">
        <v>3167.0000000000009</v>
      </c>
    </row>
    <row r="64" spans="1:13" ht="12.75" x14ac:dyDescent="0.2">
      <c r="A64" s="710"/>
      <c r="B64" s="14" t="s">
        <v>33</v>
      </c>
      <c r="C64" s="7" t="s">
        <v>97</v>
      </c>
      <c r="D64" s="261" t="s">
        <v>281</v>
      </c>
      <c r="E64" s="218">
        <f t="shared" si="1"/>
        <v>12240.83</v>
      </c>
      <c r="F64" s="218">
        <f t="shared" si="2"/>
        <v>9617.7950000000019</v>
      </c>
      <c r="G64" s="218">
        <f t="shared" si="3"/>
        <v>9180.6225000000013</v>
      </c>
      <c r="H64" s="111">
        <f t="shared" si="4"/>
        <v>8743.4500000000007</v>
      </c>
      <c r="I64" s="291">
        <f t="shared" si="7"/>
        <v>5760.4500000000016</v>
      </c>
      <c r="J64" s="296">
        <v>2983</v>
      </c>
      <c r="K64" s="111">
        <f t="shared" si="0"/>
        <v>7409.7033898305099</v>
      </c>
      <c r="M64" s="294">
        <v>4267.0000000000009</v>
      </c>
    </row>
    <row r="65" spans="1:13" ht="12.75" x14ac:dyDescent="0.2">
      <c r="A65" s="710"/>
      <c r="B65" s="14" t="s">
        <v>235</v>
      </c>
      <c r="C65" s="7" t="s">
        <v>94</v>
      </c>
      <c r="D65" s="261" t="s">
        <v>282</v>
      </c>
      <c r="E65" s="218">
        <f t="shared" si="1"/>
        <v>11164.300000000001</v>
      </c>
      <c r="F65" s="218">
        <f t="shared" si="2"/>
        <v>8771.9500000000025</v>
      </c>
      <c r="G65" s="218">
        <f t="shared" si="3"/>
        <v>8373.2250000000022</v>
      </c>
      <c r="H65" s="111">
        <f t="shared" si="4"/>
        <v>7974.5000000000018</v>
      </c>
      <c r="I65" s="291">
        <f t="shared" si="7"/>
        <v>4414.5000000000018</v>
      </c>
      <c r="J65" s="296">
        <v>3560</v>
      </c>
      <c r="K65" s="111">
        <f t="shared" si="0"/>
        <v>6758.0508474576291</v>
      </c>
      <c r="M65" s="294">
        <v>3270.0000000000009</v>
      </c>
    </row>
    <row r="66" spans="1:13" ht="12.75" x14ac:dyDescent="0.2">
      <c r="A66" s="710"/>
      <c r="B66" s="14" t="s">
        <v>236</v>
      </c>
      <c r="C66" s="7" t="s">
        <v>98</v>
      </c>
      <c r="D66" s="261" t="s">
        <v>282</v>
      </c>
      <c r="E66" s="218">
        <f t="shared" si="1"/>
        <v>12827.500000000002</v>
      </c>
      <c r="F66" s="218">
        <f t="shared" si="2"/>
        <v>10078.750000000004</v>
      </c>
      <c r="G66" s="218">
        <f t="shared" si="3"/>
        <v>9620.6250000000018</v>
      </c>
      <c r="H66" s="111">
        <f t="shared" si="4"/>
        <v>9162.5000000000018</v>
      </c>
      <c r="I66" s="291">
        <f t="shared" si="7"/>
        <v>5602.5000000000018</v>
      </c>
      <c r="J66" s="296">
        <v>3560</v>
      </c>
      <c r="K66" s="111">
        <f t="shared" si="0"/>
        <v>7764.830508474578</v>
      </c>
      <c r="M66" s="294">
        <v>4150.0000000000009</v>
      </c>
    </row>
    <row r="67" spans="1:13" ht="12.75" x14ac:dyDescent="0.2">
      <c r="A67" s="710"/>
      <c r="B67" s="14" t="s">
        <v>237</v>
      </c>
      <c r="C67" s="7" t="s">
        <v>95</v>
      </c>
      <c r="D67" s="261" t="s">
        <v>283</v>
      </c>
      <c r="E67" s="218">
        <f t="shared" si="1"/>
        <v>14104.93</v>
      </c>
      <c r="F67" s="218">
        <f t="shared" si="2"/>
        <v>11082.445000000002</v>
      </c>
      <c r="G67" s="218">
        <f t="shared" si="3"/>
        <v>10578.697500000002</v>
      </c>
      <c r="H67" s="111">
        <f t="shared" si="4"/>
        <v>10074.950000000001</v>
      </c>
      <c r="I67" s="291">
        <f t="shared" si="7"/>
        <v>5611.9500000000007</v>
      </c>
      <c r="J67" s="296">
        <v>4463</v>
      </c>
      <c r="K67" s="111">
        <f t="shared" si="0"/>
        <v>8538.0932203389839</v>
      </c>
      <c r="M67" s="294">
        <v>4157</v>
      </c>
    </row>
    <row r="68" spans="1:13" ht="13.5" thickBot="1" x14ac:dyDescent="0.25">
      <c r="A68" s="718"/>
      <c r="B68" s="173" t="s">
        <v>238</v>
      </c>
      <c r="C68" s="174" t="s">
        <v>99</v>
      </c>
      <c r="D68" s="256" t="s">
        <v>283</v>
      </c>
      <c r="E68" s="218">
        <f t="shared" si="1"/>
        <v>15352.33</v>
      </c>
      <c r="F68" s="218">
        <f t="shared" si="2"/>
        <v>12062.545000000002</v>
      </c>
      <c r="G68" s="218">
        <f t="shared" si="3"/>
        <v>11514.247500000001</v>
      </c>
      <c r="H68" s="111">
        <f t="shared" si="4"/>
        <v>10965.95</v>
      </c>
      <c r="I68" s="291">
        <f t="shared" si="7"/>
        <v>6502.9500000000007</v>
      </c>
      <c r="J68" s="296">
        <v>4463</v>
      </c>
      <c r="K68" s="111">
        <f t="shared" si="0"/>
        <v>9293.1779661016953</v>
      </c>
      <c r="M68" s="294">
        <v>4817</v>
      </c>
    </row>
    <row r="69" spans="1:13" ht="13.5" thickTop="1" x14ac:dyDescent="0.2">
      <c r="A69" s="717" t="s">
        <v>139</v>
      </c>
      <c r="B69" s="160" t="s">
        <v>478</v>
      </c>
      <c r="C69" s="161" t="s">
        <v>9</v>
      </c>
      <c r="D69" s="260"/>
      <c r="E69" s="218">
        <f t="shared" si="1"/>
        <v>4158</v>
      </c>
      <c r="F69" s="218">
        <f t="shared" si="2"/>
        <v>3267.0000000000005</v>
      </c>
      <c r="G69" s="218">
        <f t="shared" si="3"/>
        <v>3118.5</v>
      </c>
      <c r="H69" s="111">
        <f t="shared" si="4"/>
        <v>2970</v>
      </c>
      <c r="I69" s="291">
        <f t="shared" si="7"/>
        <v>2970</v>
      </c>
      <c r="J69" s="296"/>
      <c r="K69" s="111">
        <f t="shared" si="0"/>
        <v>2516.9491525423732</v>
      </c>
      <c r="M69" s="294">
        <v>2200</v>
      </c>
    </row>
    <row r="70" spans="1:13" ht="12.75" x14ac:dyDescent="0.2">
      <c r="A70" s="710"/>
      <c r="B70" s="14" t="s">
        <v>479</v>
      </c>
      <c r="C70" s="8" t="s">
        <v>0</v>
      </c>
      <c r="D70" s="262"/>
      <c r="E70" s="218">
        <f t="shared" si="1"/>
        <v>4573.7999999999993</v>
      </c>
      <c r="F70" s="218">
        <f t="shared" si="2"/>
        <v>3593.7000000000003</v>
      </c>
      <c r="G70" s="218">
        <f t="shared" si="3"/>
        <v>3430.3500000000004</v>
      </c>
      <c r="H70" s="111">
        <f t="shared" si="4"/>
        <v>3267</v>
      </c>
      <c r="I70" s="291">
        <f t="shared" si="7"/>
        <v>3267</v>
      </c>
      <c r="J70" s="296"/>
      <c r="K70" s="111">
        <f t="shared" si="0"/>
        <v>2768.6440677966102</v>
      </c>
      <c r="M70" s="294">
        <v>2420</v>
      </c>
    </row>
    <row r="71" spans="1:13" ht="12.75" x14ac:dyDescent="0.2">
      <c r="A71" s="710"/>
      <c r="B71" s="14" t="s">
        <v>480</v>
      </c>
      <c r="C71" s="8" t="s">
        <v>15</v>
      </c>
      <c r="D71" s="262"/>
      <c r="E71" s="218">
        <f t="shared" si="1"/>
        <v>5197.5</v>
      </c>
      <c r="F71" s="218">
        <f t="shared" si="2"/>
        <v>4083.7500000000009</v>
      </c>
      <c r="G71" s="218">
        <f t="shared" si="3"/>
        <v>3898.1250000000005</v>
      </c>
      <c r="H71" s="111">
        <f t="shared" si="4"/>
        <v>3712.5000000000005</v>
      </c>
      <c r="I71" s="291">
        <f t="shared" si="7"/>
        <v>3712.5000000000005</v>
      </c>
      <c r="J71" s="296"/>
      <c r="K71" s="111">
        <f t="shared" si="0"/>
        <v>3146.1864406779669</v>
      </c>
      <c r="M71" s="294">
        <v>2750</v>
      </c>
    </row>
    <row r="72" spans="1:13" ht="12.75" x14ac:dyDescent="0.2">
      <c r="A72" s="710"/>
      <c r="B72" s="14" t="s">
        <v>307</v>
      </c>
      <c r="C72" s="8" t="s">
        <v>14</v>
      </c>
      <c r="D72" s="262"/>
      <c r="E72" s="218">
        <f t="shared" si="1"/>
        <v>5821.2000000000007</v>
      </c>
      <c r="F72" s="218">
        <f t="shared" si="2"/>
        <v>4573.8000000000011</v>
      </c>
      <c r="G72" s="218">
        <f t="shared" si="3"/>
        <v>4365.9000000000015</v>
      </c>
      <c r="H72" s="111">
        <f t="shared" si="4"/>
        <v>4158.0000000000009</v>
      </c>
      <c r="I72" s="291">
        <f t="shared" si="7"/>
        <v>4158.0000000000009</v>
      </c>
      <c r="J72" s="296"/>
      <c r="K72" s="111">
        <f t="shared" si="0"/>
        <v>3523.728813559323</v>
      </c>
      <c r="M72" s="294">
        <v>3080.0000000000005</v>
      </c>
    </row>
    <row r="73" spans="1:13" ht="12.75" x14ac:dyDescent="0.2">
      <c r="A73" s="710"/>
      <c r="B73" s="14" t="s">
        <v>481</v>
      </c>
      <c r="C73" s="8" t="s">
        <v>14</v>
      </c>
      <c r="D73" s="262"/>
      <c r="E73" s="218">
        <f t="shared" si="1"/>
        <v>4989.6000000000004</v>
      </c>
      <c r="F73" s="218">
        <f t="shared" si="2"/>
        <v>3920.400000000001</v>
      </c>
      <c r="G73" s="218">
        <f t="shared" si="3"/>
        <v>3742.2000000000007</v>
      </c>
      <c r="H73" s="111">
        <f t="shared" si="4"/>
        <v>3564.0000000000005</v>
      </c>
      <c r="I73" s="291">
        <f t="shared" si="7"/>
        <v>3564.0000000000005</v>
      </c>
      <c r="J73" s="296"/>
      <c r="K73" s="111">
        <f t="shared" ref="K73:K144" si="8">H73/1.18</f>
        <v>3020.3389830508481</v>
      </c>
      <c r="M73" s="294">
        <v>2640</v>
      </c>
    </row>
    <row r="74" spans="1:13" ht="12.75" x14ac:dyDescent="0.2">
      <c r="A74" s="710"/>
      <c r="B74" s="14" t="s">
        <v>381</v>
      </c>
      <c r="C74" s="7" t="s">
        <v>76</v>
      </c>
      <c r="D74" s="277"/>
      <c r="E74" s="218">
        <f t="shared" ref="E74:E145" si="9">H74*1.4</f>
        <v>11226.600000000002</v>
      </c>
      <c r="F74" s="218">
        <f t="shared" ref="F74:F145" si="10">H74*1.1</f>
        <v>8820.9000000000033</v>
      </c>
      <c r="G74" s="218">
        <f t="shared" ref="G74:G145" si="11">H74*1.05</f>
        <v>8419.9500000000025</v>
      </c>
      <c r="H74" s="111">
        <f t="shared" ref="H74:H145" si="12">I74+J74</f>
        <v>8019.0000000000018</v>
      </c>
      <c r="I74" s="291">
        <f t="shared" si="7"/>
        <v>8019.0000000000018</v>
      </c>
      <c r="J74" s="296"/>
      <c r="K74" s="111">
        <f t="shared" si="8"/>
        <v>6795.7627118644086</v>
      </c>
      <c r="M74" s="294">
        <v>5940.0000000000009</v>
      </c>
    </row>
    <row r="75" spans="1:13" ht="12.75" x14ac:dyDescent="0.2">
      <c r="A75" s="710"/>
      <c r="B75" s="14" t="s">
        <v>482</v>
      </c>
      <c r="C75" s="7" t="s">
        <v>76</v>
      </c>
      <c r="D75" s="277"/>
      <c r="E75" s="218">
        <f t="shared" si="9"/>
        <v>9521.82</v>
      </c>
      <c r="F75" s="218">
        <f t="shared" si="10"/>
        <v>7481.4300000000012</v>
      </c>
      <c r="G75" s="218">
        <f t="shared" si="11"/>
        <v>7141.3650000000007</v>
      </c>
      <c r="H75" s="111">
        <f t="shared" si="12"/>
        <v>6801.3</v>
      </c>
      <c r="I75" s="291">
        <f t="shared" si="7"/>
        <v>6801.3</v>
      </c>
      <c r="J75" s="296"/>
      <c r="K75" s="111">
        <f t="shared" si="8"/>
        <v>5763.8135593220341</v>
      </c>
      <c r="M75" s="294">
        <v>5038</v>
      </c>
    </row>
    <row r="76" spans="1:13" ht="12.75" x14ac:dyDescent="0.2">
      <c r="A76" s="710"/>
      <c r="B76" s="14" t="s">
        <v>239</v>
      </c>
      <c r="C76" s="7" t="s">
        <v>101</v>
      </c>
      <c r="D76" s="261" t="s">
        <v>281</v>
      </c>
      <c r="E76" s="218">
        <f t="shared" si="9"/>
        <v>10993.430000000002</v>
      </c>
      <c r="F76" s="218">
        <f t="shared" si="10"/>
        <v>8637.6950000000033</v>
      </c>
      <c r="G76" s="218">
        <f t="shared" si="11"/>
        <v>8245.072500000002</v>
      </c>
      <c r="H76" s="111">
        <f t="shared" si="12"/>
        <v>7852.4500000000016</v>
      </c>
      <c r="I76" s="291">
        <f t="shared" si="7"/>
        <v>4869.4500000000016</v>
      </c>
      <c r="J76" s="296">
        <v>2983</v>
      </c>
      <c r="K76" s="111">
        <f t="shared" si="8"/>
        <v>6654.6186440677984</v>
      </c>
      <c r="M76" s="294">
        <v>3607.0000000000009</v>
      </c>
    </row>
    <row r="77" spans="1:13" ht="12.75" x14ac:dyDescent="0.2">
      <c r="A77" s="710"/>
      <c r="B77" s="14" t="s">
        <v>483</v>
      </c>
      <c r="C77" s="7" t="s">
        <v>101</v>
      </c>
      <c r="D77" s="261" t="s">
        <v>281</v>
      </c>
      <c r="E77" s="218">
        <f t="shared" si="9"/>
        <v>10161.830000000002</v>
      </c>
      <c r="F77" s="218">
        <f t="shared" si="10"/>
        <v>7984.2950000000028</v>
      </c>
      <c r="G77" s="218">
        <f t="shared" si="11"/>
        <v>7621.3725000000022</v>
      </c>
      <c r="H77" s="111">
        <f t="shared" si="12"/>
        <v>7258.4500000000016</v>
      </c>
      <c r="I77" s="291">
        <f t="shared" si="7"/>
        <v>4275.4500000000016</v>
      </c>
      <c r="J77" s="296">
        <v>2983</v>
      </c>
      <c r="K77" s="111">
        <f t="shared" si="8"/>
        <v>6151.2288135593235</v>
      </c>
      <c r="M77" s="294">
        <v>3167.0000000000009</v>
      </c>
    </row>
    <row r="78" spans="1:13" ht="12.75" x14ac:dyDescent="0.2">
      <c r="A78" s="710"/>
      <c r="B78" s="14" t="s">
        <v>240</v>
      </c>
      <c r="C78" s="7" t="s">
        <v>102</v>
      </c>
      <c r="D78" s="261" t="s">
        <v>282</v>
      </c>
      <c r="E78" s="218">
        <f t="shared" si="9"/>
        <v>11684.050000000001</v>
      </c>
      <c r="F78" s="218">
        <f t="shared" si="10"/>
        <v>9180.3250000000025</v>
      </c>
      <c r="G78" s="218">
        <f t="shared" si="11"/>
        <v>8763.0375000000022</v>
      </c>
      <c r="H78" s="111">
        <f t="shared" si="12"/>
        <v>8345.7500000000018</v>
      </c>
      <c r="I78" s="291">
        <f t="shared" si="7"/>
        <v>4785.7500000000018</v>
      </c>
      <c r="J78" s="296">
        <v>3560</v>
      </c>
      <c r="K78" s="111">
        <f t="shared" si="8"/>
        <v>7072.6694915254257</v>
      </c>
      <c r="M78" s="294">
        <v>3545.0000000000009</v>
      </c>
    </row>
    <row r="79" spans="1:13" ht="12.75" x14ac:dyDescent="0.2">
      <c r="A79" s="710"/>
      <c r="B79" s="14" t="s">
        <v>484</v>
      </c>
      <c r="C79" s="7" t="s">
        <v>102</v>
      </c>
      <c r="D79" s="261" t="s">
        <v>282</v>
      </c>
      <c r="E79" s="218">
        <f t="shared" si="9"/>
        <v>10644.550000000001</v>
      </c>
      <c r="F79" s="218">
        <f t="shared" si="10"/>
        <v>8363.5750000000025</v>
      </c>
      <c r="G79" s="218">
        <f t="shared" si="11"/>
        <v>7983.4125000000022</v>
      </c>
      <c r="H79" s="111">
        <f t="shared" si="12"/>
        <v>7603.2500000000018</v>
      </c>
      <c r="I79" s="291">
        <f t="shared" si="7"/>
        <v>4043.2500000000014</v>
      </c>
      <c r="J79" s="296">
        <v>3560</v>
      </c>
      <c r="K79" s="111">
        <f t="shared" si="8"/>
        <v>6443.4322033898325</v>
      </c>
      <c r="M79" s="294">
        <v>2995.0000000000009</v>
      </c>
    </row>
    <row r="80" spans="1:13" ht="12.75" x14ac:dyDescent="0.2">
      <c r="A80" s="710"/>
      <c r="B80" s="14" t="s">
        <v>241</v>
      </c>
      <c r="C80" s="7" t="s">
        <v>103</v>
      </c>
      <c r="D80" s="261" t="s">
        <v>283</v>
      </c>
      <c r="E80" s="218">
        <f t="shared" si="9"/>
        <v>17847.13</v>
      </c>
      <c r="F80" s="218">
        <f t="shared" si="10"/>
        <v>14022.745000000003</v>
      </c>
      <c r="G80" s="218">
        <f t="shared" si="11"/>
        <v>13385.347500000002</v>
      </c>
      <c r="H80" s="111">
        <f t="shared" si="12"/>
        <v>12747.95</v>
      </c>
      <c r="I80" s="291">
        <f t="shared" si="7"/>
        <v>8284.9500000000007</v>
      </c>
      <c r="J80" s="296">
        <v>4463</v>
      </c>
      <c r="K80" s="111">
        <f t="shared" si="8"/>
        <v>10803.34745762712</v>
      </c>
      <c r="M80" s="294">
        <v>6137</v>
      </c>
    </row>
    <row r="81" spans="1:13" ht="12.75" x14ac:dyDescent="0.2">
      <c r="A81" s="710"/>
      <c r="B81" s="14" t="s">
        <v>485</v>
      </c>
      <c r="C81" s="7" t="s">
        <v>103</v>
      </c>
      <c r="D81" s="261" t="s">
        <v>283</v>
      </c>
      <c r="E81" s="218">
        <f t="shared" si="9"/>
        <v>16391.830000000002</v>
      </c>
      <c r="F81" s="218">
        <f t="shared" si="10"/>
        <v>12879.295000000002</v>
      </c>
      <c r="G81" s="218">
        <f t="shared" si="11"/>
        <v>12293.872500000001</v>
      </c>
      <c r="H81" s="111">
        <f t="shared" si="12"/>
        <v>11708.45</v>
      </c>
      <c r="I81" s="291">
        <f t="shared" si="7"/>
        <v>7245.4500000000007</v>
      </c>
      <c r="J81" s="296">
        <v>4463</v>
      </c>
      <c r="K81" s="111">
        <f t="shared" si="8"/>
        <v>9922.4152542372885</v>
      </c>
      <c r="M81" s="294">
        <v>5367</v>
      </c>
    </row>
    <row r="82" spans="1:13" ht="19.5" customHeight="1" x14ac:dyDescent="0.2">
      <c r="A82" s="710"/>
      <c r="B82" s="14" t="s">
        <v>242</v>
      </c>
      <c r="C82" s="7" t="s">
        <v>100</v>
      </c>
      <c r="D82" s="261" t="s">
        <v>290</v>
      </c>
      <c r="E82" s="218">
        <f t="shared" si="9"/>
        <v>25214.28</v>
      </c>
      <c r="F82" s="218">
        <f t="shared" si="10"/>
        <v>19811.22</v>
      </c>
      <c r="G82" s="218">
        <f t="shared" si="11"/>
        <v>18910.710000000003</v>
      </c>
      <c r="H82" s="111">
        <f t="shared" si="12"/>
        <v>18010.2</v>
      </c>
      <c r="I82" s="291">
        <f t="shared" si="7"/>
        <v>8845.2000000000007</v>
      </c>
      <c r="J82" s="296">
        <v>9165</v>
      </c>
      <c r="K82" s="111">
        <f t="shared" si="8"/>
        <v>15262.881355932204</v>
      </c>
      <c r="M82" s="294">
        <v>6552</v>
      </c>
    </row>
    <row r="83" spans="1:13" ht="23.25" customHeight="1" thickBot="1" x14ac:dyDescent="0.25">
      <c r="A83" s="718"/>
      <c r="B83" s="173" t="s">
        <v>486</v>
      </c>
      <c r="C83" s="174" t="s">
        <v>100</v>
      </c>
      <c r="D83" s="256" t="s">
        <v>290</v>
      </c>
      <c r="E83" s="218">
        <f t="shared" si="9"/>
        <v>23758.98</v>
      </c>
      <c r="F83" s="218">
        <f t="shared" si="10"/>
        <v>18667.770000000004</v>
      </c>
      <c r="G83" s="218">
        <f t="shared" si="11"/>
        <v>17819.235000000001</v>
      </c>
      <c r="H83" s="111">
        <f t="shared" si="12"/>
        <v>16970.7</v>
      </c>
      <c r="I83" s="291">
        <f t="shared" si="7"/>
        <v>7805.7000000000007</v>
      </c>
      <c r="J83" s="296">
        <v>9165</v>
      </c>
      <c r="K83" s="111">
        <f t="shared" si="8"/>
        <v>14381.949152542375</v>
      </c>
      <c r="M83" s="294">
        <v>5782</v>
      </c>
    </row>
    <row r="84" spans="1:13" ht="15" customHeight="1" thickTop="1" x14ac:dyDescent="0.2">
      <c r="A84" s="721" t="s">
        <v>552</v>
      </c>
      <c r="B84" s="228" t="s">
        <v>553</v>
      </c>
      <c r="C84" s="7" t="s">
        <v>76</v>
      </c>
      <c r="D84" s="277"/>
      <c r="E84" s="218">
        <f t="shared" ref="E84:E91" si="13">H84*1.4</f>
        <v>0</v>
      </c>
      <c r="F84" s="218">
        <f t="shared" ref="F84:F91" si="14">H84*1.1</f>
        <v>0</v>
      </c>
      <c r="G84" s="218">
        <f t="shared" ref="G84:G91" si="15">H84*1.05</f>
        <v>0</v>
      </c>
      <c r="H84" s="111">
        <f t="shared" ref="H84:H91" si="16">I84+J84</f>
        <v>0</v>
      </c>
      <c r="I84" s="291">
        <f t="shared" ref="I84:I91" si="17">M84*1.35</f>
        <v>0</v>
      </c>
      <c r="J84" s="296"/>
      <c r="K84" s="111">
        <f t="shared" ref="K84:K91" si="18">H84/1.18</f>
        <v>0</v>
      </c>
      <c r="M84" s="294"/>
    </row>
    <row r="85" spans="1:13" ht="15" customHeight="1" x14ac:dyDescent="0.2">
      <c r="A85" s="722"/>
      <c r="B85" s="228" t="s">
        <v>554</v>
      </c>
      <c r="C85" s="7" t="s">
        <v>76</v>
      </c>
      <c r="D85" s="277"/>
      <c r="E85" s="218">
        <f t="shared" si="13"/>
        <v>0</v>
      </c>
      <c r="F85" s="218">
        <f t="shared" si="14"/>
        <v>0</v>
      </c>
      <c r="G85" s="218">
        <f t="shared" si="15"/>
        <v>0</v>
      </c>
      <c r="H85" s="111">
        <f t="shared" si="16"/>
        <v>0</v>
      </c>
      <c r="I85" s="291">
        <f t="shared" si="17"/>
        <v>0</v>
      </c>
      <c r="J85" s="296"/>
      <c r="K85" s="111">
        <f t="shared" si="18"/>
        <v>0</v>
      </c>
      <c r="M85" s="294"/>
    </row>
    <row r="86" spans="1:13" ht="15" customHeight="1" x14ac:dyDescent="0.2">
      <c r="A86" s="722"/>
      <c r="B86" s="228" t="s">
        <v>555</v>
      </c>
      <c r="C86" s="7" t="s">
        <v>101</v>
      </c>
      <c r="D86" s="261" t="s">
        <v>281</v>
      </c>
      <c r="E86" s="218">
        <f t="shared" si="13"/>
        <v>4176.2</v>
      </c>
      <c r="F86" s="218">
        <f t="shared" si="14"/>
        <v>3281.3</v>
      </c>
      <c r="G86" s="218">
        <f t="shared" si="15"/>
        <v>3132.15</v>
      </c>
      <c r="H86" s="111">
        <f t="shared" si="16"/>
        <v>2983</v>
      </c>
      <c r="I86" s="291">
        <f t="shared" si="17"/>
        <v>0</v>
      </c>
      <c r="J86" s="296">
        <v>2983</v>
      </c>
      <c r="K86" s="111">
        <f t="shared" si="18"/>
        <v>2527.9661016949153</v>
      </c>
      <c r="M86" s="294"/>
    </row>
    <row r="87" spans="1:13" ht="15" customHeight="1" x14ac:dyDescent="0.2">
      <c r="A87" s="722"/>
      <c r="B87" s="228" t="s">
        <v>556</v>
      </c>
      <c r="C87" s="7" t="s">
        <v>101</v>
      </c>
      <c r="D87" s="261" t="s">
        <v>281</v>
      </c>
      <c r="E87" s="218">
        <f t="shared" si="13"/>
        <v>4176.2</v>
      </c>
      <c r="F87" s="218">
        <f t="shared" si="14"/>
        <v>3281.3</v>
      </c>
      <c r="G87" s="218">
        <f t="shared" si="15"/>
        <v>3132.15</v>
      </c>
      <c r="H87" s="111">
        <f t="shared" si="16"/>
        <v>2983</v>
      </c>
      <c r="I87" s="291">
        <f t="shared" si="17"/>
        <v>0</v>
      </c>
      <c r="J87" s="296">
        <v>2983</v>
      </c>
      <c r="K87" s="111">
        <f t="shared" si="18"/>
        <v>2527.9661016949153</v>
      </c>
      <c r="M87" s="294"/>
    </row>
    <row r="88" spans="1:13" ht="15" customHeight="1" x14ac:dyDescent="0.2">
      <c r="A88" s="722"/>
      <c r="B88" s="228" t="s">
        <v>557</v>
      </c>
      <c r="C88" s="7" t="s">
        <v>102</v>
      </c>
      <c r="D88" s="261" t="s">
        <v>282</v>
      </c>
      <c r="E88" s="218">
        <f t="shared" si="13"/>
        <v>4984</v>
      </c>
      <c r="F88" s="218">
        <f t="shared" si="14"/>
        <v>3916.0000000000005</v>
      </c>
      <c r="G88" s="218">
        <f t="shared" si="15"/>
        <v>3738</v>
      </c>
      <c r="H88" s="111">
        <f t="shared" si="16"/>
        <v>3560</v>
      </c>
      <c r="I88" s="291">
        <f t="shared" si="17"/>
        <v>0</v>
      </c>
      <c r="J88" s="296">
        <v>3560</v>
      </c>
      <c r="K88" s="111">
        <f t="shared" si="18"/>
        <v>3016.9491525423732</v>
      </c>
      <c r="M88" s="294"/>
    </row>
    <row r="89" spans="1:13" ht="15" customHeight="1" x14ac:dyDescent="0.2">
      <c r="A89" s="722"/>
      <c r="B89" s="228" t="s">
        <v>558</v>
      </c>
      <c r="C89" s="7" t="s">
        <v>102</v>
      </c>
      <c r="D89" s="261" t="s">
        <v>282</v>
      </c>
      <c r="E89" s="218">
        <f t="shared" si="13"/>
        <v>4984</v>
      </c>
      <c r="F89" s="218">
        <f t="shared" si="14"/>
        <v>3916.0000000000005</v>
      </c>
      <c r="G89" s="218">
        <f t="shared" si="15"/>
        <v>3738</v>
      </c>
      <c r="H89" s="111">
        <f t="shared" si="16"/>
        <v>3560</v>
      </c>
      <c r="I89" s="291">
        <f t="shared" si="17"/>
        <v>0</v>
      </c>
      <c r="J89" s="296">
        <v>3560</v>
      </c>
      <c r="K89" s="111">
        <f t="shared" si="18"/>
        <v>3016.9491525423732</v>
      </c>
      <c r="M89" s="294"/>
    </row>
    <row r="90" spans="1:13" ht="15" customHeight="1" x14ac:dyDescent="0.2">
      <c r="A90" s="722"/>
      <c r="B90" s="228" t="s">
        <v>559</v>
      </c>
      <c r="C90" s="7" t="s">
        <v>103</v>
      </c>
      <c r="D90" s="261" t="s">
        <v>283</v>
      </c>
      <c r="E90" s="218">
        <f t="shared" si="13"/>
        <v>6248.2</v>
      </c>
      <c r="F90" s="218">
        <f t="shared" si="14"/>
        <v>4909.3</v>
      </c>
      <c r="G90" s="218">
        <f t="shared" si="15"/>
        <v>4686.1500000000005</v>
      </c>
      <c r="H90" s="111">
        <f t="shared" si="16"/>
        <v>4463</v>
      </c>
      <c r="I90" s="291">
        <f t="shared" si="17"/>
        <v>0</v>
      </c>
      <c r="J90" s="296">
        <v>4463</v>
      </c>
      <c r="K90" s="111">
        <f t="shared" si="18"/>
        <v>3782.2033898305085</v>
      </c>
      <c r="M90" s="294"/>
    </row>
    <row r="91" spans="1:13" ht="15" customHeight="1" thickBot="1" x14ac:dyDescent="0.25">
      <c r="A91" s="723"/>
      <c r="B91" s="228" t="s">
        <v>560</v>
      </c>
      <c r="C91" s="7" t="s">
        <v>103</v>
      </c>
      <c r="D91" s="261" t="s">
        <v>283</v>
      </c>
      <c r="E91" s="218">
        <f t="shared" si="13"/>
        <v>6248.2</v>
      </c>
      <c r="F91" s="218">
        <f t="shared" si="14"/>
        <v>4909.3</v>
      </c>
      <c r="G91" s="218">
        <f t="shared" si="15"/>
        <v>4686.1500000000005</v>
      </c>
      <c r="H91" s="111">
        <f t="shared" si="16"/>
        <v>4463</v>
      </c>
      <c r="I91" s="291">
        <f t="shared" si="17"/>
        <v>0</v>
      </c>
      <c r="J91" s="296">
        <v>4463</v>
      </c>
      <c r="K91" s="111">
        <f t="shared" si="18"/>
        <v>3782.2033898305085</v>
      </c>
      <c r="M91" s="294"/>
    </row>
    <row r="92" spans="1:13" ht="13.5" customHeight="1" thickTop="1" x14ac:dyDescent="0.2">
      <c r="A92" s="724" t="s">
        <v>161</v>
      </c>
      <c r="B92" s="160" t="s">
        <v>409</v>
      </c>
      <c r="C92" s="161" t="s">
        <v>13</v>
      </c>
      <c r="D92" s="260"/>
      <c r="E92" s="218">
        <f t="shared" si="9"/>
        <v>5717.2500000000009</v>
      </c>
      <c r="F92" s="218">
        <f t="shared" si="10"/>
        <v>4492.1250000000009</v>
      </c>
      <c r="G92" s="218">
        <f t="shared" si="11"/>
        <v>4287.9375000000009</v>
      </c>
      <c r="H92" s="111">
        <f t="shared" si="12"/>
        <v>4083.7500000000009</v>
      </c>
      <c r="I92" s="291">
        <f t="shared" si="7"/>
        <v>4083.7500000000009</v>
      </c>
      <c r="J92" s="296"/>
      <c r="K92" s="111">
        <f t="shared" si="8"/>
        <v>3460.8050847457635</v>
      </c>
      <c r="M92" s="294">
        <v>3025.0000000000005</v>
      </c>
    </row>
    <row r="93" spans="1:13" ht="12.75" customHeight="1" x14ac:dyDescent="0.2">
      <c r="A93" s="715"/>
      <c r="B93" s="14" t="s">
        <v>410</v>
      </c>
      <c r="C93" s="7" t="s">
        <v>75</v>
      </c>
      <c r="D93" s="277"/>
      <c r="E93" s="218">
        <f t="shared" si="9"/>
        <v>10810.800000000001</v>
      </c>
      <c r="F93" s="218">
        <f t="shared" si="10"/>
        <v>8494.2000000000025</v>
      </c>
      <c r="G93" s="218">
        <f t="shared" si="11"/>
        <v>8108.1000000000022</v>
      </c>
      <c r="H93" s="111">
        <f t="shared" si="12"/>
        <v>7722.0000000000018</v>
      </c>
      <c r="I93" s="291">
        <f t="shared" si="7"/>
        <v>7722.0000000000018</v>
      </c>
      <c r="J93" s="296"/>
      <c r="K93" s="111">
        <f t="shared" si="8"/>
        <v>6544.0677966101712</v>
      </c>
      <c r="M93" s="294">
        <v>5720.0000000000009</v>
      </c>
    </row>
    <row r="94" spans="1:13" ht="14.25" customHeight="1" thickBot="1" x14ac:dyDescent="0.25">
      <c r="A94" s="725"/>
      <c r="B94" s="173" t="s">
        <v>303</v>
      </c>
      <c r="C94" s="174" t="s">
        <v>92</v>
      </c>
      <c r="D94" s="256" t="s">
        <v>291</v>
      </c>
      <c r="E94" s="218">
        <f t="shared" si="9"/>
        <v>8247.26</v>
      </c>
      <c r="F94" s="218">
        <f t="shared" si="10"/>
        <v>6479.9900000000007</v>
      </c>
      <c r="G94" s="218">
        <f t="shared" si="11"/>
        <v>6185.4450000000006</v>
      </c>
      <c r="H94" s="111">
        <f t="shared" si="12"/>
        <v>5890.9000000000005</v>
      </c>
      <c r="I94" s="291">
        <f t="shared" si="7"/>
        <v>4689.9000000000005</v>
      </c>
      <c r="J94" s="296">
        <v>1201</v>
      </c>
      <c r="K94" s="111">
        <f t="shared" si="8"/>
        <v>4992.2881355932213</v>
      </c>
      <c r="M94" s="294">
        <v>3474</v>
      </c>
    </row>
    <row r="95" spans="1:13" ht="13.5" customHeight="1" thickTop="1" x14ac:dyDescent="0.2">
      <c r="A95" s="728" t="s">
        <v>153</v>
      </c>
      <c r="B95" s="201" t="s">
        <v>487</v>
      </c>
      <c r="C95" s="202" t="s">
        <v>12</v>
      </c>
      <c r="D95" s="265"/>
      <c r="E95" s="218">
        <f t="shared" si="9"/>
        <v>5197.5</v>
      </c>
      <c r="F95" s="218">
        <f t="shared" si="10"/>
        <v>4083.7500000000009</v>
      </c>
      <c r="G95" s="218">
        <f t="shared" si="11"/>
        <v>3898.1250000000005</v>
      </c>
      <c r="H95" s="111">
        <f t="shared" si="12"/>
        <v>3712.5000000000005</v>
      </c>
      <c r="I95" s="291">
        <f t="shared" si="7"/>
        <v>3712.5000000000005</v>
      </c>
      <c r="J95" s="296"/>
      <c r="K95" s="111">
        <f t="shared" si="8"/>
        <v>3146.1864406779669</v>
      </c>
      <c r="M95" s="294">
        <v>2750</v>
      </c>
    </row>
    <row r="96" spans="1:13" ht="12.75" customHeight="1" x14ac:dyDescent="0.2">
      <c r="A96" s="729"/>
      <c r="B96" s="48" t="s">
        <v>488</v>
      </c>
      <c r="C96" s="40"/>
      <c r="D96" s="259"/>
      <c r="E96" s="218">
        <f t="shared" si="9"/>
        <v>6756.75</v>
      </c>
      <c r="F96" s="218">
        <f t="shared" si="10"/>
        <v>5308.875</v>
      </c>
      <c r="G96" s="218">
        <f t="shared" si="11"/>
        <v>5067.5625</v>
      </c>
      <c r="H96" s="111">
        <f t="shared" si="12"/>
        <v>4826.25</v>
      </c>
      <c r="I96" s="291">
        <f t="shared" si="7"/>
        <v>4826.25</v>
      </c>
      <c r="J96" s="296"/>
      <c r="K96" s="111">
        <f t="shared" si="8"/>
        <v>4090.0423728813562</v>
      </c>
      <c r="M96" s="294">
        <v>3575</v>
      </c>
    </row>
    <row r="97" spans="1:13" ht="12.75" customHeight="1" x14ac:dyDescent="0.2">
      <c r="A97" s="729"/>
      <c r="B97" s="48" t="s">
        <v>489</v>
      </c>
      <c r="C97" s="52" t="s">
        <v>75</v>
      </c>
      <c r="D97" s="280"/>
      <c r="E97" s="218">
        <f t="shared" si="9"/>
        <v>13513.500000000002</v>
      </c>
      <c r="F97" s="218">
        <f t="shared" si="10"/>
        <v>10617.750000000004</v>
      </c>
      <c r="G97" s="218">
        <f t="shared" si="11"/>
        <v>10135.125000000002</v>
      </c>
      <c r="H97" s="111">
        <f t="shared" si="12"/>
        <v>9652.5000000000018</v>
      </c>
      <c r="I97" s="291">
        <f t="shared" si="7"/>
        <v>9652.5000000000018</v>
      </c>
      <c r="J97" s="296"/>
      <c r="K97" s="111">
        <f t="shared" si="8"/>
        <v>8180.0847457627142</v>
      </c>
      <c r="M97" s="294">
        <v>7150.0000000000009</v>
      </c>
    </row>
    <row r="98" spans="1:13" ht="15" customHeight="1" x14ac:dyDescent="0.2">
      <c r="A98" s="729"/>
      <c r="B98" s="48" t="s">
        <v>490</v>
      </c>
      <c r="C98" s="52" t="s">
        <v>90</v>
      </c>
      <c r="D98" s="261" t="s">
        <v>291</v>
      </c>
      <c r="E98" s="218">
        <f t="shared" si="9"/>
        <v>10742.06</v>
      </c>
      <c r="F98" s="218">
        <f t="shared" si="10"/>
        <v>8440.19</v>
      </c>
      <c r="G98" s="218">
        <f t="shared" si="11"/>
        <v>8056.545000000001</v>
      </c>
      <c r="H98" s="111">
        <f t="shared" si="12"/>
        <v>7672.9000000000005</v>
      </c>
      <c r="I98" s="291">
        <f t="shared" si="7"/>
        <v>6471.9000000000005</v>
      </c>
      <c r="J98" s="296">
        <v>1201</v>
      </c>
      <c r="K98" s="111">
        <f t="shared" si="8"/>
        <v>6502.4576271186452</v>
      </c>
      <c r="M98" s="294">
        <v>4794</v>
      </c>
    </row>
    <row r="99" spans="1:13" ht="13.5" customHeight="1" thickBot="1" x14ac:dyDescent="0.25">
      <c r="A99" s="730"/>
      <c r="B99" s="134" t="s">
        <v>491</v>
      </c>
      <c r="C99" s="174" t="s">
        <v>91</v>
      </c>
      <c r="D99" s="281"/>
      <c r="E99" s="218">
        <f t="shared" si="9"/>
        <v>17671.5</v>
      </c>
      <c r="F99" s="218">
        <f t="shared" si="10"/>
        <v>13884.750000000002</v>
      </c>
      <c r="G99" s="218">
        <f t="shared" si="11"/>
        <v>13253.625</v>
      </c>
      <c r="H99" s="111">
        <f t="shared" si="12"/>
        <v>12622.5</v>
      </c>
      <c r="I99" s="291">
        <f t="shared" si="7"/>
        <v>12622.5</v>
      </c>
      <c r="J99" s="296"/>
      <c r="K99" s="111">
        <f t="shared" si="8"/>
        <v>10697.033898305086</v>
      </c>
      <c r="M99" s="294">
        <v>9350</v>
      </c>
    </row>
    <row r="100" spans="1:13" ht="13.5" thickTop="1" x14ac:dyDescent="0.2">
      <c r="A100" s="717" t="s">
        <v>154</v>
      </c>
      <c r="B100" s="160" t="s">
        <v>492</v>
      </c>
      <c r="C100" s="181" t="s">
        <v>62</v>
      </c>
      <c r="D100" s="278"/>
      <c r="E100" s="218">
        <f t="shared" si="9"/>
        <v>4143.8249999999998</v>
      </c>
      <c r="F100" s="218">
        <f t="shared" si="10"/>
        <v>3255.8625000000002</v>
      </c>
      <c r="G100" s="218">
        <f t="shared" si="11"/>
        <v>3107.8687500000001</v>
      </c>
      <c r="H100" s="111">
        <f t="shared" si="12"/>
        <v>2959.875</v>
      </c>
      <c r="I100" s="291">
        <f t="shared" si="7"/>
        <v>2959.875</v>
      </c>
      <c r="J100" s="296"/>
      <c r="K100" s="111">
        <f t="shared" si="8"/>
        <v>2508.3686440677966</v>
      </c>
      <c r="M100" s="294">
        <v>2192.5</v>
      </c>
    </row>
    <row r="101" spans="1:13" s="26" customFormat="1" ht="18" customHeight="1" thickBot="1" x14ac:dyDescent="0.25">
      <c r="A101" s="718"/>
      <c r="B101" s="173" t="s">
        <v>493</v>
      </c>
      <c r="C101" s="174" t="s">
        <v>104</v>
      </c>
      <c r="D101" s="256" t="s">
        <v>285</v>
      </c>
      <c r="E101" s="218">
        <f t="shared" si="9"/>
        <v>5372.5</v>
      </c>
      <c r="F101" s="218">
        <f t="shared" si="10"/>
        <v>4221.25</v>
      </c>
      <c r="G101" s="218">
        <f t="shared" si="11"/>
        <v>4029.375</v>
      </c>
      <c r="H101" s="111">
        <f t="shared" si="12"/>
        <v>3837.5</v>
      </c>
      <c r="I101" s="291">
        <f t="shared" si="7"/>
        <v>2632.5</v>
      </c>
      <c r="J101" s="296">
        <v>1205</v>
      </c>
      <c r="K101" s="111">
        <f t="shared" si="8"/>
        <v>3252.1186440677966</v>
      </c>
      <c r="M101" s="294">
        <v>1950</v>
      </c>
    </row>
    <row r="102" spans="1:13" ht="13.5" thickTop="1" x14ac:dyDescent="0.2">
      <c r="A102" s="717" t="s">
        <v>155</v>
      </c>
      <c r="B102" s="160" t="s">
        <v>29</v>
      </c>
      <c r="C102" s="181" t="s">
        <v>63</v>
      </c>
      <c r="D102" s="278"/>
      <c r="E102" s="218">
        <f t="shared" si="9"/>
        <v>2853.9</v>
      </c>
      <c r="F102" s="218">
        <f t="shared" si="10"/>
        <v>2242.3500000000004</v>
      </c>
      <c r="G102" s="218">
        <f t="shared" si="11"/>
        <v>2140.4250000000002</v>
      </c>
      <c r="H102" s="111">
        <f t="shared" si="12"/>
        <v>2038.5000000000002</v>
      </c>
      <c r="I102" s="291">
        <f t="shared" si="7"/>
        <v>2038.5000000000002</v>
      </c>
      <c r="J102" s="296"/>
      <c r="K102" s="111">
        <f t="shared" si="8"/>
        <v>1727.5423728813562</v>
      </c>
      <c r="M102" s="294">
        <v>1510</v>
      </c>
    </row>
    <row r="103" spans="1:13" ht="12.75" x14ac:dyDescent="0.2">
      <c r="A103" s="710"/>
      <c r="B103" s="14" t="s">
        <v>30</v>
      </c>
      <c r="C103" s="7" t="s">
        <v>64</v>
      </c>
      <c r="D103" s="277"/>
      <c r="E103" s="218">
        <f t="shared" si="9"/>
        <v>3061.7999999999997</v>
      </c>
      <c r="F103" s="218">
        <f t="shared" si="10"/>
        <v>2405.7000000000003</v>
      </c>
      <c r="G103" s="218">
        <f t="shared" si="11"/>
        <v>2296.35</v>
      </c>
      <c r="H103" s="111">
        <f t="shared" si="12"/>
        <v>2187</v>
      </c>
      <c r="I103" s="291">
        <f t="shared" si="7"/>
        <v>2187</v>
      </c>
      <c r="J103" s="296"/>
      <c r="K103" s="111">
        <f t="shared" si="8"/>
        <v>1853.3898305084747</v>
      </c>
      <c r="M103" s="294">
        <v>1620</v>
      </c>
    </row>
    <row r="104" spans="1:13" ht="12.75" x14ac:dyDescent="0.2">
      <c r="A104" s="710"/>
      <c r="B104" s="14" t="s">
        <v>384</v>
      </c>
      <c r="C104" s="7" t="s">
        <v>77</v>
      </c>
      <c r="D104" s="277"/>
      <c r="E104" s="218">
        <f t="shared" si="9"/>
        <v>9487.7999999999993</v>
      </c>
      <c r="F104" s="218">
        <f t="shared" si="10"/>
        <v>7454.7000000000007</v>
      </c>
      <c r="G104" s="218">
        <f t="shared" si="11"/>
        <v>7115.85</v>
      </c>
      <c r="H104" s="111">
        <f t="shared" si="12"/>
        <v>6777</v>
      </c>
      <c r="I104" s="291">
        <f t="shared" si="7"/>
        <v>6777</v>
      </c>
      <c r="J104" s="296"/>
      <c r="K104" s="111">
        <f t="shared" si="8"/>
        <v>5743.2203389830511</v>
      </c>
      <c r="M104" s="294">
        <v>5020</v>
      </c>
    </row>
    <row r="105" spans="1:13" ht="17.25" customHeight="1" x14ac:dyDescent="0.2">
      <c r="A105" s="710"/>
      <c r="B105" s="14" t="s">
        <v>317</v>
      </c>
      <c r="C105" s="7" t="s">
        <v>104</v>
      </c>
      <c r="D105" s="261" t="s">
        <v>285</v>
      </c>
      <c r="E105" s="218">
        <f t="shared" si="9"/>
        <v>7375.9</v>
      </c>
      <c r="F105" s="218">
        <f t="shared" si="10"/>
        <v>5795.35</v>
      </c>
      <c r="G105" s="218">
        <f t="shared" si="11"/>
        <v>5531.9250000000002</v>
      </c>
      <c r="H105" s="111">
        <f t="shared" si="12"/>
        <v>5268.5</v>
      </c>
      <c r="I105" s="291">
        <f t="shared" si="7"/>
        <v>4063.5000000000005</v>
      </c>
      <c r="J105" s="296">
        <v>1205</v>
      </c>
      <c r="K105" s="111">
        <f t="shared" si="8"/>
        <v>4464.8305084745762</v>
      </c>
      <c r="M105" s="294">
        <v>3010</v>
      </c>
    </row>
    <row r="106" spans="1:13" ht="24" customHeight="1" thickBot="1" x14ac:dyDescent="0.25">
      <c r="A106" s="718"/>
      <c r="B106" s="173" t="s">
        <v>318</v>
      </c>
      <c r="C106" s="174" t="s">
        <v>365</v>
      </c>
      <c r="D106" s="256" t="s">
        <v>286</v>
      </c>
      <c r="E106" s="218">
        <f t="shared" si="9"/>
        <v>7797.2999999999993</v>
      </c>
      <c r="F106" s="218">
        <f t="shared" si="10"/>
        <v>6126.4500000000007</v>
      </c>
      <c r="G106" s="218">
        <f t="shared" si="11"/>
        <v>5847.9750000000004</v>
      </c>
      <c r="H106" s="111">
        <f t="shared" si="12"/>
        <v>5569.5</v>
      </c>
      <c r="I106" s="291">
        <f t="shared" si="7"/>
        <v>4279.5</v>
      </c>
      <c r="J106" s="296">
        <v>1290</v>
      </c>
      <c r="K106" s="111">
        <f t="shared" si="8"/>
        <v>4719.9152542372885</v>
      </c>
      <c r="M106" s="294">
        <v>3170</v>
      </c>
    </row>
    <row r="107" spans="1:13" ht="13.5" thickTop="1" x14ac:dyDescent="0.2">
      <c r="A107" s="717" t="s">
        <v>156</v>
      </c>
      <c r="B107" s="160" t="s">
        <v>31</v>
      </c>
      <c r="C107" s="181" t="s">
        <v>65</v>
      </c>
      <c r="D107" s="278"/>
      <c r="E107" s="218">
        <f t="shared" si="9"/>
        <v>1426.95</v>
      </c>
      <c r="F107" s="218">
        <f t="shared" si="10"/>
        <v>1121.1750000000002</v>
      </c>
      <c r="G107" s="218">
        <f t="shared" si="11"/>
        <v>1070.2125000000001</v>
      </c>
      <c r="H107" s="111">
        <f t="shared" si="12"/>
        <v>1019.2500000000001</v>
      </c>
      <c r="I107" s="291">
        <f t="shared" si="7"/>
        <v>1019.2500000000001</v>
      </c>
      <c r="J107" s="296"/>
      <c r="K107" s="111">
        <f t="shared" si="8"/>
        <v>863.77118644067809</v>
      </c>
      <c r="M107" s="294">
        <v>755</v>
      </c>
    </row>
    <row r="108" spans="1:13" ht="12.75" x14ac:dyDescent="0.2">
      <c r="A108" s="710"/>
      <c r="B108" s="14" t="s">
        <v>494</v>
      </c>
      <c r="C108" s="7" t="s">
        <v>86</v>
      </c>
      <c r="D108" s="277"/>
      <c r="E108" s="218">
        <f t="shared" si="9"/>
        <v>2286.8999999999996</v>
      </c>
      <c r="F108" s="218">
        <f t="shared" si="10"/>
        <v>1796.8500000000001</v>
      </c>
      <c r="G108" s="218">
        <f t="shared" si="11"/>
        <v>1715.1750000000002</v>
      </c>
      <c r="H108" s="111">
        <f t="shared" si="12"/>
        <v>1633.5</v>
      </c>
      <c r="I108" s="291">
        <f t="shared" si="7"/>
        <v>1633.5</v>
      </c>
      <c r="J108" s="296"/>
      <c r="K108" s="111">
        <f t="shared" si="8"/>
        <v>1384.3220338983051</v>
      </c>
      <c r="M108" s="294">
        <v>1210</v>
      </c>
    </row>
    <row r="109" spans="1:13" ht="24" customHeight="1" thickBot="1" x14ac:dyDescent="0.25">
      <c r="A109" s="718"/>
      <c r="B109" s="173" t="s">
        <v>495</v>
      </c>
      <c r="C109" s="174" t="s">
        <v>105</v>
      </c>
      <c r="D109" s="256" t="s">
        <v>291</v>
      </c>
      <c r="E109" s="218">
        <f t="shared" si="9"/>
        <v>3881.3599999999997</v>
      </c>
      <c r="F109" s="218">
        <f t="shared" si="10"/>
        <v>3049.6400000000003</v>
      </c>
      <c r="G109" s="218">
        <f t="shared" si="11"/>
        <v>2911.0200000000004</v>
      </c>
      <c r="H109" s="111">
        <f t="shared" si="12"/>
        <v>2772.4</v>
      </c>
      <c r="I109" s="291">
        <f t="shared" si="7"/>
        <v>1571.4</v>
      </c>
      <c r="J109" s="296">
        <v>1201</v>
      </c>
      <c r="K109" s="111">
        <f t="shared" si="8"/>
        <v>2349.4915254237289</v>
      </c>
      <c r="M109" s="294">
        <v>1164</v>
      </c>
    </row>
    <row r="110" spans="1:13" ht="12.75" customHeight="1" thickTop="1" x14ac:dyDescent="0.2">
      <c r="A110" s="724" t="s">
        <v>460</v>
      </c>
      <c r="B110" s="160" t="s">
        <v>496</v>
      </c>
      <c r="C110" s="181" t="s">
        <v>66</v>
      </c>
      <c r="D110" s="278"/>
      <c r="E110" s="218">
        <f t="shared" si="9"/>
        <v>3798.8999999999996</v>
      </c>
      <c r="F110" s="218">
        <f t="shared" si="10"/>
        <v>2984.8500000000004</v>
      </c>
      <c r="G110" s="218">
        <f t="shared" si="11"/>
        <v>2849.1750000000002</v>
      </c>
      <c r="H110" s="111">
        <f t="shared" si="12"/>
        <v>2713.5</v>
      </c>
      <c r="I110" s="291">
        <f t="shared" si="7"/>
        <v>2713.5</v>
      </c>
      <c r="J110" s="296"/>
      <c r="K110" s="111">
        <f t="shared" si="8"/>
        <v>2299.5762711864409</v>
      </c>
      <c r="M110" s="294">
        <v>2010</v>
      </c>
    </row>
    <row r="111" spans="1:13" ht="18" customHeight="1" thickBot="1" x14ac:dyDescent="0.25">
      <c r="A111" s="725"/>
      <c r="B111" s="173" t="s">
        <v>497</v>
      </c>
      <c r="C111" s="174" t="s">
        <v>106</v>
      </c>
      <c r="D111" s="256" t="s">
        <v>292</v>
      </c>
      <c r="E111" s="218">
        <f t="shared" si="9"/>
        <v>7686.7699999999995</v>
      </c>
      <c r="F111" s="218">
        <f t="shared" si="10"/>
        <v>6039.6050000000005</v>
      </c>
      <c r="G111" s="218">
        <f t="shared" si="11"/>
        <v>5765.0775000000003</v>
      </c>
      <c r="H111" s="111">
        <f t="shared" si="12"/>
        <v>5490.55</v>
      </c>
      <c r="I111" s="291">
        <f t="shared" si="7"/>
        <v>3932.55</v>
      </c>
      <c r="J111" s="296">
        <v>1558</v>
      </c>
      <c r="K111" s="111">
        <f t="shared" si="8"/>
        <v>4653.0084745762715</v>
      </c>
      <c r="M111" s="294">
        <v>2913</v>
      </c>
    </row>
    <row r="112" spans="1:13" ht="13.5" thickTop="1" x14ac:dyDescent="0.2">
      <c r="A112" s="717" t="s">
        <v>157</v>
      </c>
      <c r="B112" s="160" t="s">
        <v>411</v>
      </c>
      <c r="C112" s="181" t="s">
        <v>67</v>
      </c>
      <c r="D112" s="278"/>
      <c r="E112" s="218">
        <f t="shared" si="9"/>
        <v>3798.8999999999996</v>
      </c>
      <c r="F112" s="218">
        <f t="shared" si="10"/>
        <v>2984.8500000000004</v>
      </c>
      <c r="G112" s="218">
        <f t="shared" si="11"/>
        <v>2849.1750000000002</v>
      </c>
      <c r="H112" s="111">
        <f t="shared" si="12"/>
        <v>2713.5</v>
      </c>
      <c r="I112" s="291">
        <f t="shared" si="7"/>
        <v>2713.5</v>
      </c>
      <c r="J112" s="296"/>
      <c r="K112" s="111">
        <f t="shared" si="8"/>
        <v>2299.5762711864409</v>
      </c>
      <c r="M112" s="294">
        <v>2010</v>
      </c>
    </row>
    <row r="113" spans="1:13" ht="12.75" x14ac:dyDescent="0.2">
      <c r="A113" s="710"/>
      <c r="B113" s="14" t="s">
        <v>412</v>
      </c>
      <c r="C113" s="7" t="s">
        <v>68</v>
      </c>
      <c r="D113" s="277"/>
      <c r="E113" s="218">
        <f t="shared" si="9"/>
        <v>4091.85</v>
      </c>
      <c r="F113" s="218">
        <f t="shared" si="10"/>
        <v>3215.0250000000001</v>
      </c>
      <c r="G113" s="218">
        <f t="shared" si="11"/>
        <v>3068.8875000000003</v>
      </c>
      <c r="H113" s="111">
        <f t="shared" si="12"/>
        <v>2922.75</v>
      </c>
      <c r="I113" s="291">
        <f t="shared" si="7"/>
        <v>2922.75</v>
      </c>
      <c r="J113" s="296"/>
      <c r="K113" s="111">
        <f t="shared" si="8"/>
        <v>2476.906779661017</v>
      </c>
      <c r="M113" s="294">
        <v>2165</v>
      </c>
    </row>
    <row r="114" spans="1:13" ht="12.75" x14ac:dyDescent="0.2">
      <c r="A114" s="710"/>
      <c r="B114" s="14" t="s">
        <v>413</v>
      </c>
      <c r="C114" s="7" t="s">
        <v>69</v>
      </c>
      <c r="D114" s="277"/>
      <c r="E114" s="218">
        <f t="shared" si="9"/>
        <v>4347</v>
      </c>
      <c r="F114" s="218">
        <f t="shared" si="10"/>
        <v>3415.5000000000005</v>
      </c>
      <c r="G114" s="218">
        <f t="shared" si="11"/>
        <v>3260.25</v>
      </c>
      <c r="H114" s="111">
        <f t="shared" si="12"/>
        <v>3105</v>
      </c>
      <c r="I114" s="291">
        <f t="shared" si="7"/>
        <v>3105</v>
      </c>
      <c r="J114" s="296"/>
      <c r="K114" s="111">
        <f t="shared" si="8"/>
        <v>2631.3559322033898</v>
      </c>
      <c r="M114" s="294">
        <v>2300</v>
      </c>
    </row>
    <row r="115" spans="1:13" ht="12.75" x14ac:dyDescent="0.2">
      <c r="A115" s="710"/>
      <c r="B115" s="14" t="s">
        <v>414</v>
      </c>
      <c r="C115" s="7" t="s">
        <v>84</v>
      </c>
      <c r="D115" s="277"/>
      <c r="E115" s="218">
        <f t="shared" si="9"/>
        <v>7692.3000000000011</v>
      </c>
      <c r="F115" s="218">
        <f t="shared" si="10"/>
        <v>6043.9500000000016</v>
      </c>
      <c r="G115" s="218">
        <f t="shared" si="11"/>
        <v>5769.2250000000013</v>
      </c>
      <c r="H115" s="111">
        <f t="shared" si="12"/>
        <v>5494.5000000000009</v>
      </c>
      <c r="I115" s="291">
        <f t="shared" si="7"/>
        <v>5494.5000000000009</v>
      </c>
      <c r="J115" s="296"/>
      <c r="K115" s="111">
        <f t="shared" si="8"/>
        <v>4656.3559322033907</v>
      </c>
      <c r="M115" s="294">
        <v>4070.0000000000005</v>
      </c>
    </row>
    <row r="116" spans="1:13" s="26" customFormat="1" ht="12.75" x14ac:dyDescent="0.2">
      <c r="A116" s="710"/>
      <c r="B116" s="14" t="s">
        <v>36</v>
      </c>
      <c r="C116" s="7" t="s">
        <v>104</v>
      </c>
      <c r="D116" s="261" t="s">
        <v>293</v>
      </c>
      <c r="E116" s="218">
        <f t="shared" si="9"/>
        <v>6034.420000000001</v>
      </c>
      <c r="F116" s="218">
        <f t="shared" si="10"/>
        <v>4741.3300000000017</v>
      </c>
      <c r="G116" s="218">
        <f t="shared" si="11"/>
        <v>4525.8150000000014</v>
      </c>
      <c r="H116" s="111">
        <f t="shared" si="12"/>
        <v>4310.3000000000011</v>
      </c>
      <c r="I116" s="291">
        <f t="shared" si="7"/>
        <v>3102.3000000000006</v>
      </c>
      <c r="J116" s="296">
        <v>1208</v>
      </c>
      <c r="K116" s="111">
        <f t="shared" si="8"/>
        <v>3652.7966101694929</v>
      </c>
      <c r="M116" s="294">
        <v>2298.0000000000005</v>
      </c>
    </row>
    <row r="117" spans="1:13" ht="17.25" customHeight="1" x14ac:dyDescent="0.2">
      <c r="A117" s="710"/>
      <c r="B117" s="14" t="s">
        <v>37</v>
      </c>
      <c r="C117" s="7" t="s">
        <v>106</v>
      </c>
      <c r="D117" s="266" t="s">
        <v>292</v>
      </c>
      <c r="E117" s="218">
        <f t="shared" si="9"/>
        <v>8518.369999999999</v>
      </c>
      <c r="F117" s="218">
        <f t="shared" si="10"/>
        <v>6693.005000000001</v>
      </c>
      <c r="G117" s="218">
        <f t="shared" si="11"/>
        <v>6388.7775000000001</v>
      </c>
      <c r="H117" s="111">
        <f t="shared" si="12"/>
        <v>6084.55</v>
      </c>
      <c r="I117" s="291">
        <f t="shared" si="7"/>
        <v>4526.55</v>
      </c>
      <c r="J117" s="296">
        <v>1558</v>
      </c>
      <c r="K117" s="111">
        <f t="shared" si="8"/>
        <v>5156.3983050847464</v>
      </c>
      <c r="M117" s="294">
        <v>3353</v>
      </c>
    </row>
    <row r="118" spans="1:13" ht="13.5" thickBot="1" x14ac:dyDescent="0.25">
      <c r="A118" s="718"/>
      <c r="B118" s="173" t="s">
        <v>38</v>
      </c>
      <c r="C118" s="174" t="s">
        <v>107</v>
      </c>
      <c r="D118" s="256" t="s">
        <v>294</v>
      </c>
      <c r="E118" s="218">
        <f t="shared" si="9"/>
        <v>10608.878000000002</v>
      </c>
      <c r="F118" s="218">
        <f t="shared" si="10"/>
        <v>8335.5470000000023</v>
      </c>
      <c r="G118" s="218">
        <f t="shared" si="11"/>
        <v>7956.6585000000023</v>
      </c>
      <c r="H118" s="111">
        <f t="shared" si="12"/>
        <v>7577.7700000000023</v>
      </c>
      <c r="I118" s="291">
        <f t="shared" si="7"/>
        <v>5395.9500000000016</v>
      </c>
      <c r="J118" s="296">
        <v>2181.8200000000002</v>
      </c>
      <c r="K118" s="111">
        <f t="shared" si="8"/>
        <v>6421.8389830508495</v>
      </c>
      <c r="M118" s="294">
        <v>3997.0000000000009</v>
      </c>
    </row>
    <row r="119" spans="1:13" ht="13.5" thickTop="1" x14ac:dyDescent="0.2">
      <c r="A119" s="717" t="s">
        <v>158</v>
      </c>
      <c r="B119" s="160" t="s">
        <v>425</v>
      </c>
      <c r="C119" s="181" t="s">
        <v>10</v>
      </c>
      <c r="D119" s="278"/>
      <c r="E119" s="218">
        <f t="shared" si="9"/>
        <v>3846.1500000000005</v>
      </c>
      <c r="F119" s="218">
        <f t="shared" si="10"/>
        <v>3021.9750000000008</v>
      </c>
      <c r="G119" s="218">
        <f t="shared" si="11"/>
        <v>2884.6125000000006</v>
      </c>
      <c r="H119" s="111">
        <f t="shared" si="12"/>
        <v>2747.2500000000005</v>
      </c>
      <c r="I119" s="291">
        <f t="shared" si="7"/>
        <v>2747.2500000000005</v>
      </c>
      <c r="J119" s="296"/>
      <c r="K119" s="111">
        <f t="shared" si="8"/>
        <v>2328.1779661016953</v>
      </c>
      <c r="M119" s="294">
        <v>2035.0000000000002</v>
      </c>
    </row>
    <row r="120" spans="1:13" ht="15" customHeight="1" thickBot="1" x14ac:dyDescent="0.25">
      <c r="A120" s="718"/>
      <c r="B120" s="173" t="s">
        <v>253</v>
      </c>
      <c r="C120" s="174" t="s">
        <v>105</v>
      </c>
      <c r="D120" s="256" t="s">
        <v>291</v>
      </c>
      <c r="E120" s="218">
        <f t="shared" si="9"/>
        <v>7623.56</v>
      </c>
      <c r="F120" s="218">
        <f t="shared" si="10"/>
        <v>5989.9400000000014</v>
      </c>
      <c r="G120" s="218">
        <f t="shared" si="11"/>
        <v>5717.670000000001</v>
      </c>
      <c r="H120" s="111">
        <f t="shared" si="12"/>
        <v>5445.4000000000005</v>
      </c>
      <c r="I120" s="291">
        <f t="shared" si="7"/>
        <v>4244.4000000000005</v>
      </c>
      <c r="J120" s="296">
        <v>1201</v>
      </c>
      <c r="K120" s="111">
        <f t="shared" si="8"/>
        <v>4614.7457627118647</v>
      </c>
      <c r="M120" s="294">
        <v>3144</v>
      </c>
    </row>
    <row r="121" spans="1:13" ht="13.5" thickTop="1" x14ac:dyDescent="0.2">
      <c r="A121" s="717" t="s">
        <v>162</v>
      </c>
      <c r="B121" s="160" t="s">
        <v>39</v>
      </c>
      <c r="C121" s="181" t="s">
        <v>92</v>
      </c>
      <c r="D121" s="267" t="s">
        <v>281</v>
      </c>
      <c r="E121" s="218">
        <f t="shared" si="9"/>
        <v>10889.480000000001</v>
      </c>
      <c r="F121" s="218">
        <f t="shared" si="10"/>
        <v>8556.0200000000023</v>
      </c>
      <c r="G121" s="218">
        <f t="shared" si="11"/>
        <v>8167.1100000000024</v>
      </c>
      <c r="H121" s="111">
        <f t="shared" si="12"/>
        <v>7778.2000000000016</v>
      </c>
      <c r="I121" s="291">
        <f t="shared" si="7"/>
        <v>4795.2000000000016</v>
      </c>
      <c r="J121" s="296">
        <v>2983</v>
      </c>
      <c r="K121" s="111">
        <f t="shared" si="8"/>
        <v>6591.6949152542393</v>
      </c>
      <c r="M121" s="294">
        <v>3552.0000000000009</v>
      </c>
    </row>
    <row r="122" spans="1:13" ht="12.75" x14ac:dyDescent="0.2">
      <c r="A122" s="710"/>
      <c r="B122" s="14" t="s">
        <v>40</v>
      </c>
      <c r="C122" s="16" t="s">
        <v>108</v>
      </c>
      <c r="D122" s="266" t="s">
        <v>281</v>
      </c>
      <c r="E122" s="218">
        <f t="shared" si="9"/>
        <v>12864.53</v>
      </c>
      <c r="F122" s="218">
        <f t="shared" si="10"/>
        <v>10107.845000000001</v>
      </c>
      <c r="G122" s="218">
        <f t="shared" si="11"/>
        <v>9648.3975000000009</v>
      </c>
      <c r="H122" s="111">
        <f t="shared" si="12"/>
        <v>9188.9500000000007</v>
      </c>
      <c r="I122" s="291">
        <f t="shared" si="7"/>
        <v>6205.9500000000016</v>
      </c>
      <c r="J122" s="296">
        <v>2983</v>
      </c>
      <c r="K122" s="111">
        <f t="shared" si="8"/>
        <v>7787.2457627118656</v>
      </c>
      <c r="M122" s="294">
        <v>4597.0000000000009</v>
      </c>
    </row>
    <row r="123" spans="1:13" ht="12.75" x14ac:dyDescent="0.2">
      <c r="A123" s="710"/>
      <c r="B123" s="14" t="s">
        <v>41</v>
      </c>
      <c r="C123" s="7" t="s">
        <v>255</v>
      </c>
      <c r="D123" s="266" t="s">
        <v>282</v>
      </c>
      <c r="E123" s="218">
        <f t="shared" si="9"/>
        <v>12099.850000000002</v>
      </c>
      <c r="F123" s="218">
        <f t="shared" si="10"/>
        <v>9507.0250000000033</v>
      </c>
      <c r="G123" s="218">
        <f t="shared" si="11"/>
        <v>9074.8875000000025</v>
      </c>
      <c r="H123" s="111">
        <f t="shared" si="12"/>
        <v>8642.7500000000018</v>
      </c>
      <c r="I123" s="291">
        <f t="shared" si="7"/>
        <v>5082.7500000000018</v>
      </c>
      <c r="J123" s="296">
        <v>3560</v>
      </c>
      <c r="K123" s="111">
        <f t="shared" si="8"/>
        <v>7324.3644067796631</v>
      </c>
      <c r="M123" s="294">
        <v>3765.0000000000009</v>
      </c>
    </row>
    <row r="124" spans="1:13" ht="12.75" x14ac:dyDescent="0.2">
      <c r="A124" s="710"/>
      <c r="B124" s="14" t="s">
        <v>254</v>
      </c>
      <c r="C124" s="7" t="s">
        <v>109</v>
      </c>
      <c r="D124" s="266" t="s">
        <v>282</v>
      </c>
      <c r="E124" s="218">
        <f t="shared" si="9"/>
        <v>16673.649999999998</v>
      </c>
      <c r="F124" s="218">
        <f t="shared" si="10"/>
        <v>13100.725</v>
      </c>
      <c r="G124" s="218">
        <f t="shared" si="11"/>
        <v>12505.237500000001</v>
      </c>
      <c r="H124" s="111">
        <f t="shared" si="12"/>
        <v>11909.75</v>
      </c>
      <c r="I124" s="291">
        <f t="shared" si="7"/>
        <v>8349.75</v>
      </c>
      <c r="J124" s="296">
        <v>3560</v>
      </c>
      <c r="K124" s="111">
        <f t="shared" si="8"/>
        <v>10093.008474576272</v>
      </c>
      <c r="M124" s="294">
        <v>6185</v>
      </c>
    </row>
    <row r="125" spans="1:13" ht="13.5" thickBot="1" x14ac:dyDescent="0.25">
      <c r="A125" s="718"/>
      <c r="B125" s="173" t="s">
        <v>401</v>
      </c>
      <c r="C125" s="174" t="s">
        <v>82</v>
      </c>
      <c r="D125" s="282"/>
      <c r="E125" s="218">
        <f t="shared" si="9"/>
        <v>10602.900000000001</v>
      </c>
      <c r="F125" s="218">
        <f t="shared" si="10"/>
        <v>8330.8500000000022</v>
      </c>
      <c r="G125" s="218">
        <f t="shared" si="11"/>
        <v>7952.1750000000011</v>
      </c>
      <c r="H125" s="111">
        <f t="shared" si="12"/>
        <v>7573.5000000000009</v>
      </c>
      <c r="I125" s="291">
        <f t="shared" si="7"/>
        <v>7573.5000000000009</v>
      </c>
      <c r="J125" s="296"/>
      <c r="K125" s="111">
        <f t="shared" si="8"/>
        <v>6418.220338983052</v>
      </c>
      <c r="M125" s="294">
        <v>5610</v>
      </c>
    </row>
    <row r="126" spans="1:13" ht="13.5" thickTop="1" x14ac:dyDescent="0.2">
      <c r="A126" s="717" t="s">
        <v>140</v>
      </c>
      <c r="B126" s="160" t="s">
        <v>184</v>
      </c>
      <c r="C126" s="181" t="s">
        <v>70</v>
      </c>
      <c r="D126" s="283"/>
      <c r="E126" s="218">
        <f t="shared" si="9"/>
        <v>8637.2999999999993</v>
      </c>
      <c r="F126" s="218">
        <f t="shared" si="10"/>
        <v>6786.4500000000007</v>
      </c>
      <c r="G126" s="218">
        <f t="shared" si="11"/>
        <v>6477.9750000000004</v>
      </c>
      <c r="H126" s="111">
        <f t="shared" si="12"/>
        <v>6169.5</v>
      </c>
      <c r="I126" s="291">
        <f t="shared" si="7"/>
        <v>6169.5</v>
      </c>
      <c r="J126" s="296"/>
      <c r="K126" s="111">
        <f t="shared" si="8"/>
        <v>5228.3898305084749</v>
      </c>
      <c r="M126" s="294">
        <v>4570</v>
      </c>
    </row>
    <row r="127" spans="1:13" ht="12.75" x14ac:dyDescent="0.2">
      <c r="A127" s="710"/>
      <c r="B127" s="14" t="s">
        <v>401</v>
      </c>
      <c r="C127" s="7" t="s">
        <v>82</v>
      </c>
      <c r="D127" s="284"/>
      <c r="E127" s="218">
        <f t="shared" si="9"/>
        <v>10602.900000000001</v>
      </c>
      <c r="F127" s="218">
        <f t="shared" si="10"/>
        <v>8330.8500000000022</v>
      </c>
      <c r="G127" s="218">
        <f t="shared" si="11"/>
        <v>7952.1750000000011</v>
      </c>
      <c r="H127" s="111">
        <f t="shared" si="12"/>
        <v>7573.5000000000009</v>
      </c>
      <c r="I127" s="291">
        <f t="shared" si="7"/>
        <v>7573.5000000000009</v>
      </c>
      <c r="J127" s="296"/>
      <c r="K127" s="111">
        <f t="shared" si="8"/>
        <v>6418.220338983052</v>
      </c>
      <c r="M127" s="294">
        <v>5610</v>
      </c>
    </row>
    <row r="128" spans="1:13" ht="14.25" customHeight="1" x14ac:dyDescent="0.2">
      <c r="A128" s="710"/>
      <c r="B128" s="14" t="s">
        <v>256</v>
      </c>
      <c r="C128" s="7" t="s">
        <v>110</v>
      </c>
      <c r="D128" s="266" t="s">
        <v>295</v>
      </c>
      <c r="E128" s="218">
        <f t="shared" si="9"/>
        <v>26709.199999999997</v>
      </c>
      <c r="F128" s="218">
        <f t="shared" si="10"/>
        <v>20985.800000000003</v>
      </c>
      <c r="G128" s="218">
        <f t="shared" si="11"/>
        <v>20031.900000000001</v>
      </c>
      <c r="H128" s="111">
        <f t="shared" si="12"/>
        <v>19078</v>
      </c>
      <c r="I128" s="291">
        <v>6900</v>
      </c>
      <c r="J128" s="296">
        <v>12178</v>
      </c>
      <c r="K128" s="111">
        <f t="shared" si="8"/>
        <v>16167.796610169493</v>
      </c>
      <c r="M128" s="294">
        <v>6778</v>
      </c>
    </row>
    <row r="129" spans="1:13" ht="16.5" customHeight="1" thickBot="1" x14ac:dyDescent="0.25">
      <c r="A129" s="718"/>
      <c r="B129" s="173" t="s">
        <v>257</v>
      </c>
      <c r="C129" s="174" t="s">
        <v>111</v>
      </c>
      <c r="D129" s="268" t="s">
        <v>295</v>
      </c>
      <c r="E129" s="218">
        <f t="shared" si="9"/>
        <v>34269.199999999997</v>
      </c>
      <c r="F129" s="218">
        <f t="shared" si="10"/>
        <v>26925.800000000003</v>
      </c>
      <c r="G129" s="218">
        <f t="shared" si="11"/>
        <v>25701.9</v>
      </c>
      <c r="H129" s="111">
        <f t="shared" si="12"/>
        <v>24478</v>
      </c>
      <c r="I129" s="291">
        <v>12300</v>
      </c>
      <c r="J129" s="296">
        <v>12178</v>
      </c>
      <c r="K129" s="111">
        <f t="shared" si="8"/>
        <v>20744.067796610172</v>
      </c>
      <c r="M129" s="294">
        <v>10243</v>
      </c>
    </row>
    <row r="130" spans="1:13" ht="13.5" thickTop="1" x14ac:dyDescent="0.2">
      <c r="A130" s="717" t="s">
        <v>141</v>
      </c>
      <c r="B130" s="160" t="s">
        <v>498</v>
      </c>
      <c r="C130" s="181" t="s">
        <v>354</v>
      </c>
      <c r="D130" s="283"/>
      <c r="E130" s="218">
        <f t="shared" si="9"/>
        <v>15592.499999999998</v>
      </c>
      <c r="F130" s="218">
        <f t="shared" si="10"/>
        <v>12251.250000000002</v>
      </c>
      <c r="G130" s="218">
        <f t="shared" si="11"/>
        <v>11694.375</v>
      </c>
      <c r="H130" s="111">
        <f t="shared" si="12"/>
        <v>11137.5</v>
      </c>
      <c r="I130" s="291">
        <f t="shared" si="7"/>
        <v>11137.5</v>
      </c>
      <c r="J130" s="296"/>
      <c r="K130" s="111">
        <f t="shared" si="8"/>
        <v>9438.5593220338997</v>
      </c>
      <c r="M130" s="294">
        <v>8250</v>
      </c>
    </row>
    <row r="131" spans="1:13" ht="12.75" x14ac:dyDescent="0.2">
      <c r="A131" s="710"/>
      <c r="B131" s="14" t="s">
        <v>499</v>
      </c>
      <c r="C131" s="7" t="s">
        <v>85</v>
      </c>
      <c r="D131" s="284"/>
      <c r="E131" s="218">
        <f t="shared" si="9"/>
        <v>16216.199999999999</v>
      </c>
      <c r="F131" s="218">
        <f t="shared" si="10"/>
        <v>12741.300000000001</v>
      </c>
      <c r="G131" s="218">
        <f t="shared" si="11"/>
        <v>12162.15</v>
      </c>
      <c r="H131" s="111">
        <f t="shared" si="12"/>
        <v>11583</v>
      </c>
      <c r="I131" s="291">
        <f t="shared" si="7"/>
        <v>11583</v>
      </c>
      <c r="J131" s="296"/>
      <c r="K131" s="111">
        <f t="shared" si="8"/>
        <v>9816.1016949152545</v>
      </c>
      <c r="M131" s="294">
        <v>8580</v>
      </c>
    </row>
    <row r="132" spans="1:13" ht="12.75" x14ac:dyDescent="0.2">
      <c r="A132" s="710"/>
      <c r="B132" s="14" t="s">
        <v>500</v>
      </c>
      <c r="C132" s="7" t="s">
        <v>92</v>
      </c>
      <c r="D132" s="266" t="s">
        <v>281</v>
      </c>
      <c r="E132" s="218">
        <f t="shared" si="9"/>
        <v>13280.33</v>
      </c>
      <c r="F132" s="218">
        <f t="shared" si="10"/>
        <v>10434.545000000002</v>
      </c>
      <c r="G132" s="218">
        <f t="shared" si="11"/>
        <v>9960.2475000000013</v>
      </c>
      <c r="H132" s="111">
        <f t="shared" si="12"/>
        <v>9485.9500000000007</v>
      </c>
      <c r="I132" s="291">
        <f>M132*1.35</f>
        <v>6502.9500000000016</v>
      </c>
      <c r="J132" s="296">
        <v>2983</v>
      </c>
      <c r="K132" s="111">
        <f t="shared" si="8"/>
        <v>8038.9406779661031</v>
      </c>
      <c r="M132" s="294">
        <v>4817.0000000000009</v>
      </c>
    </row>
    <row r="133" spans="1:13" ht="13.5" thickBot="1" x14ac:dyDescent="0.25">
      <c r="A133" s="718"/>
      <c r="B133" s="173" t="s">
        <v>501</v>
      </c>
      <c r="C133" s="174" t="s">
        <v>92</v>
      </c>
      <c r="D133" s="268" t="s">
        <v>281</v>
      </c>
      <c r="E133" s="218">
        <f t="shared" si="9"/>
        <v>19205.48</v>
      </c>
      <c r="F133" s="218">
        <f t="shared" si="10"/>
        <v>15090.020000000002</v>
      </c>
      <c r="G133" s="218">
        <f t="shared" si="11"/>
        <v>14404.11</v>
      </c>
      <c r="H133" s="111">
        <f t="shared" si="12"/>
        <v>13718.2</v>
      </c>
      <c r="I133" s="291">
        <f>M133*1.35</f>
        <v>10735.2</v>
      </c>
      <c r="J133" s="296">
        <v>2983</v>
      </c>
      <c r="K133" s="111">
        <f t="shared" si="8"/>
        <v>11625.593220338984</v>
      </c>
      <c r="M133" s="294">
        <v>7952</v>
      </c>
    </row>
    <row r="134" spans="1:13" ht="13.5" thickTop="1" x14ac:dyDescent="0.2">
      <c r="A134" s="717" t="s">
        <v>142</v>
      </c>
      <c r="B134" s="160" t="s">
        <v>502</v>
      </c>
      <c r="C134" s="181" t="s">
        <v>73</v>
      </c>
      <c r="D134" s="283"/>
      <c r="E134" s="218">
        <f t="shared" si="9"/>
        <v>5291.9999999999991</v>
      </c>
      <c r="F134" s="218">
        <f t="shared" si="10"/>
        <v>4158</v>
      </c>
      <c r="G134" s="218">
        <f t="shared" si="11"/>
        <v>3968.9999999999995</v>
      </c>
      <c r="H134" s="111">
        <f t="shared" si="12"/>
        <v>3779.9999999999995</v>
      </c>
      <c r="I134" s="291">
        <f>M134*1.4</f>
        <v>3779.9999999999995</v>
      </c>
      <c r="J134" s="296"/>
      <c r="K134" s="111">
        <f t="shared" si="8"/>
        <v>3203.3898305084745</v>
      </c>
      <c r="M134" s="294">
        <v>2700</v>
      </c>
    </row>
    <row r="135" spans="1:13" ht="12.75" x14ac:dyDescent="0.2">
      <c r="A135" s="710"/>
      <c r="B135" s="14" t="s">
        <v>503</v>
      </c>
      <c r="C135" s="7" t="s">
        <v>72</v>
      </c>
      <c r="D135" s="284"/>
      <c r="E135" s="218">
        <f t="shared" si="9"/>
        <v>6536.5999999999995</v>
      </c>
      <c r="F135" s="218">
        <f t="shared" si="10"/>
        <v>5135.9000000000005</v>
      </c>
      <c r="G135" s="218">
        <f t="shared" si="11"/>
        <v>4902.45</v>
      </c>
      <c r="H135" s="111">
        <f t="shared" si="12"/>
        <v>4669</v>
      </c>
      <c r="I135" s="291">
        <f t="shared" ref="I135:I152" si="19">M135*1.4</f>
        <v>4669</v>
      </c>
      <c r="J135" s="296"/>
      <c r="K135" s="111">
        <f t="shared" si="8"/>
        <v>3956.7796610169494</v>
      </c>
      <c r="M135" s="294">
        <v>3335</v>
      </c>
    </row>
    <row r="136" spans="1:13" ht="12.75" x14ac:dyDescent="0.2">
      <c r="A136" s="710"/>
      <c r="B136" s="14" t="s">
        <v>504</v>
      </c>
      <c r="C136" s="7" t="s">
        <v>71</v>
      </c>
      <c r="D136" s="284"/>
      <c r="E136" s="218">
        <f t="shared" si="9"/>
        <v>8908.1999999999989</v>
      </c>
      <c r="F136" s="218">
        <f t="shared" si="10"/>
        <v>6999.3</v>
      </c>
      <c r="G136" s="218">
        <f t="shared" si="11"/>
        <v>6681.1500000000005</v>
      </c>
      <c r="H136" s="111">
        <f t="shared" si="12"/>
        <v>6363</v>
      </c>
      <c r="I136" s="291">
        <f t="shared" si="19"/>
        <v>6363</v>
      </c>
      <c r="J136" s="296"/>
      <c r="K136" s="111">
        <f t="shared" si="8"/>
        <v>5392.3728813559328</v>
      </c>
      <c r="M136" s="294">
        <v>4545</v>
      </c>
    </row>
    <row r="137" spans="1:13" ht="12.75" x14ac:dyDescent="0.2">
      <c r="A137" s="710"/>
      <c r="B137" s="14" t="s">
        <v>505</v>
      </c>
      <c r="C137" s="7" t="s">
        <v>78</v>
      </c>
      <c r="D137" s="284"/>
      <c r="E137" s="218">
        <f t="shared" si="9"/>
        <v>11495.4</v>
      </c>
      <c r="F137" s="218">
        <f t="shared" si="10"/>
        <v>9032.1</v>
      </c>
      <c r="G137" s="218">
        <f t="shared" si="11"/>
        <v>8621.5500000000011</v>
      </c>
      <c r="H137" s="111">
        <f t="shared" si="12"/>
        <v>8211</v>
      </c>
      <c r="I137" s="291">
        <f t="shared" si="19"/>
        <v>8211</v>
      </c>
      <c r="J137" s="296"/>
      <c r="K137" s="111">
        <f t="shared" si="8"/>
        <v>6958.4745762711864</v>
      </c>
      <c r="M137" s="294">
        <v>5865</v>
      </c>
    </row>
    <row r="138" spans="1:13" ht="12.75" x14ac:dyDescent="0.2">
      <c r="A138" s="710"/>
      <c r="B138" s="14" t="s">
        <v>506</v>
      </c>
      <c r="C138" s="7" t="s">
        <v>78</v>
      </c>
      <c r="D138" s="284"/>
      <c r="E138" s="218">
        <f t="shared" si="9"/>
        <v>16228.8</v>
      </c>
      <c r="F138" s="218">
        <f t="shared" si="10"/>
        <v>12751.2</v>
      </c>
      <c r="G138" s="218">
        <f t="shared" si="11"/>
        <v>12171.6</v>
      </c>
      <c r="H138" s="111">
        <f t="shared" si="12"/>
        <v>11592</v>
      </c>
      <c r="I138" s="291">
        <f t="shared" si="19"/>
        <v>11592</v>
      </c>
      <c r="J138" s="296"/>
      <c r="K138" s="111">
        <f t="shared" si="8"/>
        <v>9823.7288135593226</v>
      </c>
      <c r="M138" s="294">
        <v>8280</v>
      </c>
    </row>
    <row r="139" spans="1:13" ht="12.75" x14ac:dyDescent="0.2">
      <c r="A139" s="710"/>
      <c r="B139" s="14" t="s">
        <v>507</v>
      </c>
      <c r="C139" s="7" t="s">
        <v>79</v>
      </c>
      <c r="D139" s="284"/>
      <c r="E139" s="218">
        <f t="shared" si="9"/>
        <v>11073.999999999998</v>
      </c>
      <c r="F139" s="218">
        <f t="shared" si="10"/>
        <v>8701</v>
      </c>
      <c r="G139" s="218">
        <f t="shared" si="11"/>
        <v>8305.5</v>
      </c>
      <c r="H139" s="111">
        <f t="shared" si="12"/>
        <v>7909.9999999999991</v>
      </c>
      <c r="I139" s="291">
        <f t="shared" si="19"/>
        <v>7909.9999999999991</v>
      </c>
      <c r="J139" s="296"/>
      <c r="K139" s="111">
        <f t="shared" si="8"/>
        <v>6703.389830508474</v>
      </c>
      <c r="M139" s="294">
        <v>5650</v>
      </c>
    </row>
    <row r="140" spans="1:13" ht="12.75" x14ac:dyDescent="0.2">
      <c r="A140" s="710"/>
      <c r="B140" s="14" t="s">
        <v>508</v>
      </c>
      <c r="C140" s="7" t="s">
        <v>79</v>
      </c>
      <c r="D140" s="284"/>
      <c r="E140" s="218">
        <f t="shared" si="9"/>
        <v>11073.999999999998</v>
      </c>
      <c r="F140" s="218">
        <f t="shared" si="10"/>
        <v>8701</v>
      </c>
      <c r="G140" s="218">
        <f t="shared" si="11"/>
        <v>8305.5</v>
      </c>
      <c r="H140" s="111">
        <f t="shared" si="12"/>
        <v>7909.9999999999991</v>
      </c>
      <c r="I140" s="291">
        <f t="shared" si="19"/>
        <v>7909.9999999999991</v>
      </c>
      <c r="J140" s="296"/>
      <c r="K140" s="111">
        <f t="shared" si="8"/>
        <v>6703.389830508474</v>
      </c>
      <c r="M140" s="294">
        <v>5650</v>
      </c>
    </row>
    <row r="141" spans="1:13" ht="12.75" x14ac:dyDescent="0.2">
      <c r="A141" s="710"/>
      <c r="B141" s="14" t="s">
        <v>509</v>
      </c>
      <c r="C141" s="7" t="s">
        <v>114</v>
      </c>
      <c r="D141" s="266" t="s">
        <v>296</v>
      </c>
      <c r="E141" s="218">
        <f t="shared" si="9"/>
        <v>9032.5199999999986</v>
      </c>
      <c r="F141" s="218">
        <f t="shared" si="10"/>
        <v>7096.98</v>
      </c>
      <c r="G141" s="218">
        <f t="shared" si="11"/>
        <v>6774.3899999999994</v>
      </c>
      <c r="H141" s="111">
        <f t="shared" si="12"/>
        <v>6451.7999999999993</v>
      </c>
      <c r="I141" s="291">
        <f t="shared" si="19"/>
        <v>4895.7999999999993</v>
      </c>
      <c r="J141" s="296">
        <v>1556</v>
      </c>
      <c r="K141" s="111">
        <f t="shared" si="8"/>
        <v>5467.6271186440672</v>
      </c>
      <c r="M141" s="294">
        <v>3497</v>
      </c>
    </row>
    <row r="142" spans="1:13" ht="12.75" x14ac:dyDescent="0.2">
      <c r="A142" s="710"/>
      <c r="B142" s="14" t="s">
        <v>510</v>
      </c>
      <c r="C142" s="7" t="s">
        <v>113</v>
      </c>
      <c r="D142" s="266" t="s">
        <v>296</v>
      </c>
      <c r="E142" s="218">
        <f t="shared" si="9"/>
        <v>11051.319999999998</v>
      </c>
      <c r="F142" s="218">
        <f t="shared" si="10"/>
        <v>8683.18</v>
      </c>
      <c r="G142" s="218">
        <f t="shared" si="11"/>
        <v>8288.49</v>
      </c>
      <c r="H142" s="111">
        <f t="shared" si="12"/>
        <v>7893.7999999999993</v>
      </c>
      <c r="I142" s="291">
        <f t="shared" si="19"/>
        <v>6337.7999999999993</v>
      </c>
      <c r="J142" s="296">
        <v>1556</v>
      </c>
      <c r="K142" s="111">
        <f t="shared" si="8"/>
        <v>6689.6610169491523</v>
      </c>
      <c r="M142" s="294">
        <v>4527</v>
      </c>
    </row>
    <row r="143" spans="1:13" ht="13.5" thickBot="1" x14ac:dyDescent="0.25">
      <c r="A143" s="718"/>
      <c r="B143" s="173" t="s">
        <v>511</v>
      </c>
      <c r="C143" s="174" t="s">
        <v>112</v>
      </c>
      <c r="D143" s="268" t="s">
        <v>296</v>
      </c>
      <c r="E143" s="218">
        <f t="shared" si="9"/>
        <v>13079.919999999998</v>
      </c>
      <c r="F143" s="218">
        <f t="shared" si="10"/>
        <v>10277.08</v>
      </c>
      <c r="G143" s="218">
        <f t="shared" si="11"/>
        <v>9809.94</v>
      </c>
      <c r="H143" s="111">
        <f t="shared" si="12"/>
        <v>9342.7999999999993</v>
      </c>
      <c r="I143" s="291">
        <f t="shared" si="19"/>
        <v>7786.7999999999993</v>
      </c>
      <c r="J143" s="296">
        <v>1556</v>
      </c>
      <c r="K143" s="111">
        <f t="shared" si="8"/>
        <v>7917.6271186440672</v>
      </c>
      <c r="M143" s="294">
        <v>5562</v>
      </c>
    </row>
    <row r="144" spans="1:13" ht="13.5" thickTop="1" x14ac:dyDescent="0.2">
      <c r="A144" s="719" t="s">
        <v>346</v>
      </c>
      <c r="B144" s="212" t="s">
        <v>356</v>
      </c>
      <c r="C144" s="183" t="s">
        <v>360</v>
      </c>
      <c r="D144" s="283"/>
      <c r="E144" s="218">
        <f t="shared" si="9"/>
        <v>9388.4</v>
      </c>
      <c r="F144" s="218">
        <f t="shared" si="10"/>
        <v>7376.6</v>
      </c>
      <c r="G144" s="218">
        <f t="shared" si="11"/>
        <v>7041.3</v>
      </c>
      <c r="H144" s="111">
        <f t="shared" si="12"/>
        <v>6706</v>
      </c>
      <c r="I144" s="291">
        <f t="shared" si="19"/>
        <v>6706</v>
      </c>
      <c r="J144" s="296"/>
      <c r="K144" s="111">
        <f t="shared" si="8"/>
        <v>5683.0508474576272</v>
      </c>
      <c r="M144" s="294">
        <v>4790</v>
      </c>
    </row>
    <row r="145" spans="1:13" ht="12.75" x14ac:dyDescent="0.2">
      <c r="A145" s="713"/>
      <c r="B145" s="43" t="s">
        <v>357</v>
      </c>
      <c r="C145" s="35" t="s">
        <v>361</v>
      </c>
      <c r="D145" s="284"/>
      <c r="E145" s="218">
        <f t="shared" si="9"/>
        <v>0</v>
      </c>
      <c r="F145" s="218">
        <f t="shared" si="10"/>
        <v>0</v>
      </c>
      <c r="G145" s="218">
        <f t="shared" si="11"/>
        <v>0</v>
      </c>
      <c r="H145" s="111">
        <f t="shared" si="12"/>
        <v>0</v>
      </c>
      <c r="I145" s="291">
        <f t="shared" si="19"/>
        <v>0</v>
      </c>
      <c r="J145" s="296"/>
      <c r="K145" s="111">
        <f t="shared" ref="K145:K193" si="20">H145/1.18</f>
        <v>0</v>
      </c>
      <c r="M145" s="294">
        <v>0</v>
      </c>
    </row>
    <row r="146" spans="1:13" s="26" customFormat="1" ht="12.75" x14ac:dyDescent="0.2">
      <c r="A146" s="713"/>
      <c r="B146" s="43" t="s">
        <v>358</v>
      </c>
      <c r="C146" s="35" t="s">
        <v>362</v>
      </c>
      <c r="D146" s="277"/>
      <c r="E146" s="218">
        <f t="shared" ref="E146:E193" si="21">H146*1.4</f>
        <v>0</v>
      </c>
      <c r="F146" s="218">
        <f t="shared" ref="F146:F193" si="22">H146*1.1</f>
        <v>0</v>
      </c>
      <c r="G146" s="218">
        <f t="shared" ref="G146:G193" si="23">H146*1.05</f>
        <v>0</v>
      </c>
      <c r="H146" s="111">
        <f t="shared" ref="H146:H193" si="24">I146+J146</f>
        <v>0</v>
      </c>
      <c r="I146" s="291">
        <f t="shared" si="19"/>
        <v>0</v>
      </c>
      <c r="J146" s="296"/>
      <c r="K146" s="111">
        <f t="shared" si="20"/>
        <v>0</v>
      </c>
      <c r="M146" s="294">
        <v>0</v>
      </c>
    </row>
    <row r="147" spans="1:13" s="26" customFormat="1" ht="13.5" thickBot="1" x14ac:dyDescent="0.25">
      <c r="A147" s="720"/>
      <c r="B147" s="214" t="s">
        <v>359</v>
      </c>
      <c r="C147" s="215" t="s">
        <v>363</v>
      </c>
      <c r="D147" s="285"/>
      <c r="E147" s="218">
        <f t="shared" si="21"/>
        <v>0</v>
      </c>
      <c r="F147" s="218">
        <f t="shared" si="22"/>
        <v>0</v>
      </c>
      <c r="G147" s="218">
        <f t="shared" si="23"/>
        <v>0</v>
      </c>
      <c r="H147" s="111">
        <f t="shared" si="24"/>
        <v>0</v>
      </c>
      <c r="I147" s="291">
        <f t="shared" si="19"/>
        <v>0</v>
      </c>
      <c r="J147" s="296"/>
      <c r="K147" s="111">
        <f t="shared" si="20"/>
        <v>0</v>
      </c>
      <c r="M147" s="294">
        <v>0</v>
      </c>
    </row>
    <row r="148" spans="1:13" ht="13.5" thickTop="1" x14ac:dyDescent="0.2">
      <c r="A148" s="717" t="s">
        <v>159</v>
      </c>
      <c r="B148" s="160" t="s">
        <v>426</v>
      </c>
      <c r="C148" s="181" t="s">
        <v>68</v>
      </c>
      <c r="D148" s="283"/>
      <c r="E148" s="218">
        <f t="shared" si="21"/>
        <v>3939.6</v>
      </c>
      <c r="F148" s="218">
        <f t="shared" si="22"/>
        <v>3095.4</v>
      </c>
      <c r="G148" s="218">
        <f t="shared" si="23"/>
        <v>2954.7000000000003</v>
      </c>
      <c r="H148" s="111">
        <f t="shared" si="24"/>
        <v>2814</v>
      </c>
      <c r="I148" s="291">
        <f t="shared" si="19"/>
        <v>2814</v>
      </c>
      <c r="J148" s="296"/>
      <c r="K148" s="111">
        <f t="shared" si="20"/>
        <v>2384.7457627118647</v>
      </c>
      <c r="M148" s="294">
        <v>2010</v>
      </c>
    </row>
    <row r="149" spans="1:13" ht="14.25" customHeight="1" thickBot="1" x14ac:dyDescent="0.25">
      <c r="A149" s="718"/>
      <c r="B149" s="173" t="s">
        <v>261</v>
      </c>
      <c r="C149" s="174" t="s">
        <v>115</v>
      </c>
      <c r="D149" s="268" t="s">
        <v>292</v>
      </c>
      <c r="E149" s="218">
        <f t="shared" si="21"/>
        <v>7567.2799999999988</v>
      </c>
      <c r="F149" s="218">
        <f t="shared" si="22"/>
        <v>5945.72</v>
      </c>
      <c r="G149" s="218">
        <f t="shared" si="23"/>
        <v>5675.46</v>
      </c>
      <c r="H149" s="111">
        <f t="shared" si="24"/>
        <v>5405.2</v>
      </c>
      <c r="I149" s="291">
        <f t="shared" si="19"/>
        <v>3847.2</v>
      </c>
      <c r="J149" s="296">
        <v>1558</v>
      </c>
      <c r="K149" s="111">
        <f t="shared" si="20"/>
        <v>4580.6779661016953</v>
      </c>
      <c r="M149" s="294">
        <v>2748</v>
      </c>
    </row>
    <row r="150" spans="1:13" ht="13.5" thickTop="1" x14ac:dyDescent="0.2">
      <c r="A150" s="717" t="s">
        <v>143</v>
      </c>
      <c r="B150" s="160" t="s">
        <v>44</v>
      </c>
      <c r="C150" s="181" t="s">
        <v>71</v>
      </c>
      <c r="D150" s="283"/>
      <c r="E150" s="218">
        <f t="shared" si="21"/>
        <v>9408</v>
      </c>
      <c r="F150" s="218">
        <f t="shared" si="22"/>
        <v>7392.0000000000009</v>
      </c>
      <c r="G150" s="218">
        <f t="shared" si="23"/>
        <v>7056</v>
      </c>
      <c r="H150" s="111">
        <f t="shared" si="24"/>
        <v>6720</v>
      </c>
      <c r="I150" s="291">
        <f t="shared" si="19"/>
        <v>6720</v>
      </c>
      <c r="J150" s="296"/>
      <c r="K150" s="111">
        <f t="shared" si="20"/>
        <v>5694.9152542372885</v>
      </c>
      <c r="M150" s="294">
        <v>4800</v>
      </c>
    </row>
    <row r="151" spans="1:13" ht="12.75" x14ac:dyDescent="0.2">
      <c r="A151" s="710"/>
      <c r="B151" s="14" t="s">
        <v>401</v>
      </c>
      <c r="C151" s="7" t="s">
        <v>82</v>
      </c>
      <c r="D151" s="277"/>
      <c r="E151" s="218">
        <f t="shared" si="21"/>
        <v>10995.599999999999</v>
      </c>
      <c r="F151" s="218">
        <f t="shared" si="22"/>
        <v>8639.4</v>
      </c>
      <c r="G151" s="218">
        <f t="shared" si="23"/>
        <v>8246.6999999999989</v>
      </c>
      <c r="H151" s="111">
        <f t="shared" si="24"/>
        <v>7853.9999999999991</v>
      </c>
      <c r="I151" s="291">
        <f t="shared" si="19"/>
        <v>7853.9999999999991</v>
      </c>
      <c r="J151" s="296"/>
      <c r="K151" s="111">
        <f t="shared" si="20"/>
        <v>6655.9322033898297</v>
      </c>
      <c r="M151" s="294">
        <v>5610</v>
      </c>
    </row>
    <row r="152" spans="1:13" ht="13.5" thickBot="1" x14ac:dyDescent="0.25">
      <c r="A152" s="718"/>
      <c r="B152" s="173" t="s">
        <v>512</v>
      </c>
      <c r="C152" s="174" t="s">
        <v>112</v>
      </c>
      <c r="D152" s="268" t="s">
        <v>296</v>
      </c>
      <c r="E152" s="218">
        <f t="shared" si="21"/>
        <v>32650.519999999997</v>
      </c>
      <c r="F152" s="218">
        <f t="shared" si="22"/>
        <v>25653.98</v>
      </c>
      <c r="G152" s="218">
        <f t="shared" si="23"/>
        <v>24487.89</v>
      </c>
      <c r="H152" s="111">
        <f t="shared" si="24"/>
        <v>23321.8</v>
      </c>
      <c r="I152" s="291">
        <f t="shared" si="19"/>
        <v>21765.8</v>
      </c>
      <c r="J152" s="296">
        <v>1556</v>
      </c>
      <c r="K152" s="111">
        <f t="shared" si="20"/>
        <v>19764.237288135595</v>
      </c>
      <c r="M152" s="294">
        <v>15547</v>
      </c>
    </row>
    <row r="153" spans="1:13" ht="13.5" thickTop="1" x14ac:dyDescent="0.2">
      <c r="A153" s="728" t="s">
        <v>524</v>
      </c>
      <c r="B153" s="48" t="s">
        <v>525</v>
      </c>
      <c r="C153" s="239" t="s">
        <v>74</v>
      </c>
      <c r="D153" s="259"/>
      <c r="E153" s="218">
        <f t="shared" si="21"/>
        <v>3059</v>
      </c>
      <c r="F153" s="218">
        <f t="shared" si="22"/>
        <v>2403.5</v>
      </c>
      <c r="G153" s="218">
        <f t="shared" si="23"/>
        <v>2294.25</v>
      </c>
      <c r="H153" s="111">
        <f t="shared" si="24"/>
        <v>2185</v>
      </c>
      <c r="I153" s="291">
        <f>M153*1.15</f>
        <v>2185</v>
      </c>
      <c r="J153" s="296"/>
      <c r="K153" s="111">
        <f t="shared" si="20"/>
        <v>1851.6949152542375</v>
      </c>
      <c r="M153" s="294">
        <v>1900</v>
      </c>
    </row>
    <row r="154" spans="1:13" ht="12.75" x14ac:dyDescent="0.2">
      <c r="A154" s="729"/>
      <c r="B154" s="48" t="s">
        <v>531</v>
      </c>
      <c r="C154" s="239" t="s">
        <v>305</v>
      </c>
      <c r="D154" s="259" t="s">
        <v>534</v>
      </c>
      <c r="E154" s="218">
        <f t="shared" si="21"/>
        <v>5262.04</v>
      </c>
      <c r="F154" s="218">
        <f t="shared" si="22"/>
        <v>4134.46</v>
      </c>
      <c r="G154" s="218">
        <f t="shared" si="23"/>
        <v>3946.53</v>
      </c>
      <c r="H154" s="111">
        <f t="shared" si="24"/>
        <v>3758.6</v>
      </c>
      <c r="I154" s="291">
        <f>M154*1.15</f>
        <v>2672.6</v>
      </c>
      <c r="J154" s="296">
        <v>1086</v>
      </c>
      <c r="K154" s="111">
        <f t="shared" si="20"/>
        <v>3185.2542372881358</v>
      </c>
      <c r="M154" s="294">
        <v>2324</v>
      </c>
    </row>
    <row r="155" spans="1:13" ht="12.75" x14ac:dyDescent="0.2">
      <c r="A155" s="729"/>
      <c r="B155" s="48" t="s">
        <v>550</v>
      </c>
      <c r="C155" s="239"/>
      <c r="D155" s="301"/>
      <c r="E155" s="218">
        <f>H155*1.4</f>
        <v>3220</v>
      </c>
      <c r="F155" s="218">
        <f>H155*1.1</f>
        <v>2530</v>
      </c>
      <c r="G155" s="218">
        <f>H155*1.05</f>
        <v>2415</v>
      </c>
      <c r="H155" s="111">
        <f>I155+J155</f>
        <v>2300</v>
      </c>
      <c r="I155" s="291">
        <v>2300</v>
      </c>
      <c r="J155" s="296"/>
      <c r="K155" s="111"/>
      <c r="M155" s="294"/>
    </row>
    <row r="156" spans="1:13" ht="13.5" thickBot="1" x14ac:dyDescent="0.25">
      <c r="A156" s="729"/>
      <c r="B156" s="48" t="s">
        <v>551</v>
      </c>
      <c r="C156" s="239"/>
      <c r="D156" s="268" t="s">
        <v>292</v>
      </c>
      <c r="E156" s="218">
        <f>H156*1.4</f>
        <v>6941.2</v>
      </c>
      <c r="F156" s="218">
        <f>H156*1.1</f>
        <v>5453.8</v>
      </c>
      <c r="G156" s="218">
        <f>H156*1.05</f>
        <v>5205.9000000000005</v>
      </c>
      <c r="H156" s="111">
        <f>I156+J156</f>
        <v>4958</v>
      </c>
      <c r="I156" s="291">
        <v>3400</v>
      </c>
      <c r="J156" s="296">
        <v>1558</v>
      </c>
      <c r="K156" s="111"/>
      <c r="M156" s="294"/>
    </row>
    <row r="157" spans="1:13" ht="13.5" thickTop="1" x14ac:dyDescent="0.2">
      <c r="A157" s="729"/>
      <c r="B157" s="48" t="s">
        <v>526</v>
      </c>
      <c r="C157" s="239" t="s">
        <v>529</v>
      </c>
      <c r="D157" s="259"/>
      <c r="E157" s="218">
        <f t="shared" si="21"/>
        <v>4266.4999999999991</v>
      </c>
      <c r="F157" s="218">
        <f t="shared" si="22"/>
        <v>3352.2499999999995</v>
      </c>
      <c r="G157" s="218">
        <f t="shared" si="23"/>
        <v>3199.8749999999995</v>
      </c>
      <c r="H157" s="111">
        <f t="shared" si="24"/>
        <v>3047.4999999999995</v>
      </c>
      <c r="I157" s="291">
        <f>M157*1.15</f>
        <v>3047.4999999999995</v>
      </c>
      <c r="J157" s="296"/>
      <c r="K157" s="111">
        <f t="shared" si="20"/>
        <v>2582.6271186440677</v>
      </c>
      <c r="M157" s="294">
        <v>2650</v>
      </c>
    </row>
    <row r="158" spans="1:13" s="318" customFormat="1" ht="13.5" customHeight="1" thickBot="1" x14ac:dyDescent="0.25">
      <c r="A158" s="730"/>
      <c r="B158" s="134" t="s">
        <v>530</v>
      </c>
      <c r="C158" s="303" t="s">
        <v>91</v>
      </c>
      <c r="D158" s="313" t="s">
        <v>287</v>
      </c>
      <c r="E158" s="219">
        <f t="shared" si="21"/>
        <v>9791.25</v>
      </c>
      <c r="F158" s="219">
        <f t="shared" si="22"/>
        <v>7693.1250000000009</v>
      </c>
      <c r="G158" s="219">
        <f t="shared" si="23"/>
        <v>7343.4375</v>
      </c>
      <c r="H158" s="144">
        <f t="shared" si="24"/>
        <v>6993.75</v>
      </c>
      <c r="I158" s="304">
        <f>M158*1.15</f>
        <v>4605.75</v>
      </c>
      <c r="J158" s="305">
        <v>2388</v>
      </c>
      <c r="K158" s="144">
        <f t="shared" si="20"/>
        <v>5926.906779661017</v>
      </c>
      <c r="M158" s="319">
        <v>4005</v>
      </c>
    </row>
    <row r="159" spans="1:13" ht="13.5" customHeight="1" thickTop="1" thickBot="1" x14ac:dyDescent="0.25">
      <c r="A159" s="728" t="s">
        <v>563</v>
      </c>
      <c r="B159" s="302" t="s">
        <v>580</v>
      </c>
      <c r="C159" s="312" t="s">
        <v>574</v>
      </c>
      <c r="D159" s="301" t="s">
        <v>593</v>
      </c>
      <c r="E159" s="222">
        <f t="shared" ref="E159:E166" si="25">H159*1.4</f>
        <v>3919.9999999999995</v>
      </c>
      <c r="F159" s="222">
        <f t="shared" ref="F159:F166" si="26">H159*1.1</f>
        <v>3080.0000000000005</v>
      </c>
      <c r="G159" s="222">
        <f t="shared" ref="G159:G166" si="27">H159*1.05</f>
        <v>2940</v>
      </c>
      <c r="H159" s="129">
        <f t="shared" ref="H159:H166" si="28">I159+J159</f>
        <v>2800</v>
      </c>
      <c r="I159" s="307">
        <v>1500</v>
      </c>
      <c r="J159" s="308">
        <v>1300</v>
      </c>
      <c r="K159" s="316">
        <f t="shared" si="20"/>
        <v>2372.8813559322034</v>
      </c>
      <c r="M159" s="317"/>
    </row>
    <row r="160" spans="1:13" ht="16.5" customHeight="1" thickTop="1" thickBot="1" x14ac:dyDescent="0.25">
      <c r="A160" s="729"/>
      <c r="B160" s="48" t="s">
        <v>581</v>
      </c>
      <c r="C160" s="9" t="s">
        <v>575</v>
      </c>
      <c r="D160" s="314" t="s">
        <v>564</v>
      </c>
      <c r="E160" s="218">
        <f t="shared" si="25"/>
        <v>10690.4</v>
      </c>
      <c r="F160" s="218">
        <f t="shared" si="26"/>
        <v>8399.6</v>
      </c>
      <c r="G160" s="218">
        <f t="shared" si="27"/>
        <v>8017.8</v>
      </c>
      <c r="H160" s="111">
        <f t="shared" si="28"/>
        <v>7636</v>
      </c>
      <c r="I160" s="291">
        <v>4750</v>
      </c>
      <c r="J160" s="308">
        <v>2886</v>
      </c>
      <c r="K160" s="144">
        <f t="shared" si="20"/>
        <v>6471.1864406779669</v>
      </c>
      <c r="M160" s="294"/>
    </row>
    <row r="161" spans="1:13" ht="13.5" customHeight="1" thickTop="1" thickBot="1" x14ac:dyDescent="0.25">
      <c r="A161" s="729"/>
      <c r="B161" s="48" t="s">
        <v>582</v>
      </c>
      <c r="C161" s="9" t="s">
        <v>579</v>
      </c>
      <c r="D161" s="301" t="s">
        <v>593</v>
      </c>
      <c r="E161" s="218">
        <f t="shared" si="25"/>
        <v>4270</v>
      </c>
      <c r="F161" s="218">
        <f t="shared" si="26"/>
        <v>3355.0000000000005</v>
      </c>
      <c r="G161" s="218">
        <f t="shared" si="27"/>
        <v>3202.5</v>
      </c>
      <c r="H161" s="111">
        <f t="shared" si="28"/>
        <v>3050</v>
      </c>
      <c r="I161" s="291">
        <v>1750</v>
      </c>
      <c r="J161" s="308">
        <v>1300</v>
      </c>
      <c r="K161" s="144">
        <f t="shared" si="20"/>
        <v>2584.7457627118647</v>
      </c>
      <c r="M161" s="294"/>
    </row>
    <row r="162" spans="1:13" ht="18.75" customHeight="1" thickTop="1" thickBot="1" x14ac:dyDescent="0.25">
      <c r="A162" s="729"/>
      <c r="B162" s="48" t="s">
        <v>583</v>
      </c>
      <c r="C162" s="9" t="s">
        <v>576</v>
      </c>
      <c r="D162" s="314" t="s">
        <v>565</v>
      </c>
      <c r="E162" s="218">
        <f t="shared" si="25"/>
        <v>11643.8</v>
      </c>
      <c r="F162" s="218">
        <f t="shared" si="26"/>
        <v>9148.7000000000007</v>
      </c>
      <c r="G162" s="218">
        <f t="shared" si="27"/>
        <v>8732.85</v>
      </c>
      <c r="H162" s="111">
        <f t="shared" si="28"/>
        <v>8317</v>
      </c>
      <c r="I162" s="291">
        <v>4950</v>
      </c>
      <c r="J162" s="308">
        <v>3367</v>
      </c>
      <c r="K162" s="144">
        <f t="shared" si="20"/>
        <v>7048.3050847457635</v>
      </c>
      <c r="M162" s="294"/>
    </row>
    <row r="163" spans="1:13" ht="13.5" customHeight="1" thickTop="1" thickBot="1" x14ac:dyDescent="0.25">
      <c r="A163" s="729"/>
      <c r="B163" s="48" t="s">
        <v>584</v>
      </c>
      <c r="C163" s="9" t="s">
        <v>578</v>
      </c>
      <c r="D163" s="301" t="s">
        <v>593</v>
      </c>
      <c r="E163" s="218">
        <f t="shared" si="25"/>
        <v>4830</v>
      </c>
      <c r="F163" s="218">
        <f t="shared" si="26"/>
        <v>3795.0000000000005</v>
      </c>
      <c r="G163" s="218">
        <f t="shared" si="27"/>
        <v>3622.5</v>
      </c>
      <c r="H163" s="111">
        <f t="shared" si="28"/>
        <v>3450</v>
      </c>
      <c r="I163" s="291">
        <v>2150</v>
      </c>
      <c r="J163" s="308">
        <v>1300</v>
      </c>
      <c r="K163" s="144">
        <f t="shared" si="20"/>
        <v>2923.7288135593221</v>
      </c>
      <c r="M163" s="294"/>
    </row>
    <row r="164" spans="1:13" ht="16.5" customHeight="1" thickTop="1" thickBot="1" x14ac:dyDescent="0.25">
      <c r="A164" s="729"/>
      <c r="B164" s="48" t="s">
        <v>585</v>
      </c>
      <c r="C164" s="9" t="s">
        <v>577</v>
      </c>
      <c r="D164" s="314" t="s">
        <v>566</v>
      </c>
      <c r="E164" s="218">
        <f t="shared" si="25"/>
        <v>13468</v>
      </c>
      <c r="F164" s="218">
        <f t="shared" si="26"/>
        <v>10582</v>
      </c>
      <c r="G164" s="218">
        <f t="shared" si="27"/>
        <v>10101</v>
      </c>
      <c r="H164" s="111">
        <f t="shared" si="28"/>
        <v>9620</v>
      </c>
      <c r="I164" s="291">
        <v>5200</v>
      </c>
      <c r="J164" s="308">
        <v>4420</v>
      </c>
      <c r="K164" s="144">
        <f t="shared" si="20"/>
        <v>8152.5423728813566</v>
      </c>
      <c r="M164" s="294"/>
    </row>
    <row r="165" spans="1:13" ht="16.5" customHeight="1" thickTop="1" thickBot="1" x14ac:dyDescent="0.25">
      <c r="A165" s="729"/>
      <c r="B165" s="322" t="s">
        <v>592</v>
      </c>
      <c r="C165" s="41"/>
      <c r="D165" s="301" t="s">
        <v>593</v>
      </c>
      <c r="E165" s="223"/>
      <c r="F165" s="223"/>
      <c r="G165" s="224"/>
      <c r="H165" s="118"/>
      <c r="I165" s="291">
        <v>1300</v>
      </c>
      <c r="J165" s="308"/>
      <c r="K165" s="144"/>
      <c r="M165" s="321"/>
    </row>
    <row r="166" spans="1:13" s="318" customFormat="1" ht="13.5" customHeight="1" thickTop="1" thickBot="1" x14ac:dyDescent="0.25">
      <c r="A166" s="730"/>
      <c r="B166" s="173" t="s">
        <v>586</v>
      </c>
      <c r="C166" s="135" t="s">
        <v>573</v>
      </c>
      <c r="D166" s="315"/>
      <c r="E166" s="219">
        <f t="shared" si="25"/>
        <v>7559.9999999999991</v>
      </c>
      <c r="F166" s="219">
        <f t="shared" si="26"/>
        <v>5940.0000000000009</v>
      </c>
      <c r="G166" s="219">
        <f t="shared" si="27"/>
        <v>5670</v>
      </c>
      <c r="H166" s="144">
        <f t="shared" si="28"/>
        <v>5400</v>
      </c>
      <c r="I166" s="304">
        <v>5400</v>
      </c>
      <c r="J166" s="320"/>
      <c r="K166" s="144">
        <f t="shared" si="20"/>
        <v>4576.2711864406783</v>
      </c>
      <c r="M166" s="319"/>
    </row>
    <row r="167" spans="1:13" ht="13.5" thickTop="1" x14ac:dyDescent="0.2">
      <c r="A167" s="716" t="s">
        <v>144</v>
      </c>
      <c r="B167" s="21" t="s">
        <v>310</v>
      </c>
      <c r="C167" s="17" t="s">
        <v>1</v>
      </c>
      <c r="D167" s="306"/>
      <c r="E167" s="222">
        <f t="shared" si="21"/>
        <v>3919.9999999999995</v>
      </c>
      <c r="F167" s="222">
        <f t="shared" si="22"/>
        <v>3080.0000000000005</v>
      </c>
      <c r="G167" s="222">
        <f t="shared" si="23"/>
        <v>2940</v>
      </c>
      <c r="H167" s="129">
        <f t="shared" si="24"/>
        <v>2800</v>
      </c>
      <c r="I167" s="307">
        <f t="shared" ref="I167:I188" si="29">M167*1.4</f>
        <v>2800</v>
      </c>
      <c r="J167" s="308"/>
      <c r="K167" s="129">
        <f t="shared" si="20"/>
        <v>2372.8813559322034</v>
      </c>
      <c r="M167" s="317">
        <v>2000</v>
      </c>
    </row>
    <row r="168" spans="1:13" ht="12.75" x14ac:dyDescent="0.2">
      <c r="A168" s="710"/>
      <c r="B168" s="14" t="s">
        <v>309</v>
      </c>
      <c r="C168" s="7" t="s">
        <v>1</v>
      </c>
      <c r="D168" s="284"/>
      <c r="E168" s="218">
        <f t="shared" si="21"/>
        <v>4664.7999999999993</v>
      </c>
      <c r="F168" s="218">
        <f t="shared" si="22"/>
        <v>3665.2000000000003</v>
      </c>
      <c r="G168" s="218">
        <f t="shared" si="23"/>
        <v>3498.6000000000004</v>
      </c>
      <c r="H168" s="111">
        <f t="shared" si="24"/>
        <v>3332</v>
      </c>
      <c r="I168" s="291">
        <f t="shared" si="29"/>
        <v>3332</v>
      </c>
      <c r="J168" s="296"/>
      <c r="K168" s="111">
        <f t="shared" si="20"/>
        <v>2823.7288135593221</v>
      </c>
      <c r="M168" s="294">
        <v>2380</v>
      </c>
    </row>
    <row r="169" spans="1:13" ht="12.75" x14ac:dyDescent="0.2">
      <c r="A169" s="710"/>
      <c r="B169" s="14" t="s">
        <v>193</v>
      </c>
      <c r="C169" s="7" t="s">
        <v>2</v>
      </c>
      <c r="D169" s="284"/>
      <c r="E169" s="218">
        <f t="shared" si="21"/>
        <v>4635.3999999999996</v>
      </c>
      <c r="F169" s="218">
        <f t="shared" si="22"/>
        <v>3642.1000000000004</v>
      </c>
      <c r="G169" s="218">
        <f t="shared" si="23"/>
        <v>3476.55</v>
      </c>
      <c r="H169" s="111">
        <f t="shared" si="24"/>
        <v>3311</v>
      </c>
      <c r="I169" s="291">
        <f t="shared" si="29"/>
        <v>3311</v>
      </c>
      <c r="J169" s="296"/>
      <c r="K169" s="111">
        <f t="shared" si="20"/>
        <v>2805.9322033898306</v>
      </c>
      <c r="M169" s="294">
        <v>2365</v>
      </c>
    </row>
    <row r="170" spans="1:13" ht="12.75" x14ac:dyDescent="0.2">
      <c r="A170" s="710"/>
      <c r="B170" s="14" t="s">
        <v>195</v>
      </c>
      <c r="C170" s="7" t="s">
        <v>2</v>
      </c>
      <c r="D170" s="284"/>
      <c r="E170" s="218">
        <f t="shared" si="21"/>
        <v>5585.9999999999991</v>
      </c>
      <c r="F170" s="218">
        <f t="shared" si="22"/>
        <v>4389</v>
      </c>
      <c r="G170" s="218">
        <f t="shared" si="23"/>
        <v>4189.5</v>
      </c>
      <c r="H170" s="111">
        <f t="shared" si="24"/>
        <v>3989.9999999999995</v>
      </c>
      <c r="I170" s="291">
        <f t="shared" si="29"/>
        <v>3989.9999999999995</v>
      </c>
      <c r="J170" s="296"/>
      <c r="K170" s="111">
        <f t="shared" si="20"/>
        <v>3381.3559322033898</v>
      </c>
      <c r="M170" s="294">
        <v>2850</v>
      </c>
    </row>
    <row r="171" spans="1:13" ht="12.75" x14ac:dyDescent="0.2">
      <c r="A171" s="710"/>
      <c r="B171" s="14" t="s">
        <v>194</v>
      </c>
      <c r="C171" s="7" t="s">
        <v>3</v>
      </c>
      <c r="D171" s="284"/>
      <c r="E171" s="218">
        <f t="shared" si="21"/>
        <v>5713.4000000000005</v>
      </c>
      <c r="F171" s="218">
        <f t="shared" si="22"/>
        <v>4489.1000000000013</v>
      </c>
      <c r="G171" s="218">
        <f t="shared" si="23"/>
        <v>4285.0500000000011</v>
      </c>
      <c r="H171" s="111">
        <f t="shared" si="24"/>
        <v>4081.0000000000005</v>
      </c>
      <c r="I171" s="291">
        <f t="shared" si="29"/>
        <v>4081.0000000000005</v>
      </c>
      <c r="J171" s="296"/>
      <c r="K171" s="111">
        <f t="shared" si="20"/>
        <v>3458.4745762711868</v>
      </c>
      <c r="M171" s="294">
        <v>2915.0000000000005</v>
      </c>
    </row>
    <row r="172" spans="1:13" ht="12.75" x14ac:dyDescent="0.2">
      <c r="A172" s="710"/>
      <c r="B172" s="14" t="s">
        <v>196</v>
      </c>
      <c r="C172" s="7" t="s">
        <v>3</v>
      </c>
      <c r="D172" s="284"/>
      <c r="E172" s="218">
        <f t="shared" si="21"/>
        <v>6879.5999999999995</v>
      </c>
      <c r="F172" s="218">
        <f t="shared" si="22"/>
        <v>5405.4000000000005</v>
      </c>
      <c r="G172" s="218">
        <f t="shared" si="23"/>
        <v>5159.7</v>
      </c>
      <c r="H172" s="111">
        <f t="shared" si="24"/>
        <v>4914</v>
      </c>
      <c r="I172" s="291">
        <f t="shared" si="29"/>
        <v>4914</v>
      </c>
      <c r="J172" s="296"/>
      <c r="K172" s="111">
        <f t="shared" si="20"/>
        <v>4164.406779661017</v>
      </c>
      <c r="M172" s="294">
        <v>3510</v>
      </c>
    </row>
    <row r="173" spans="1:13" ht="12.75" x14ac:dyDescent="0.2">
      <c r="A173" s="710"/>
      <c r="B173" s="14" t="s">
        <v>191</v>
      </c>
      <c r="C173" s="7" t="s">
        <v>4</v>
      </c>
      <c r="D173" s="284"/>
      <c r="E173" s="218">
        <f t="shared" si="21"/>
        <v>8408.4</v>
      </c>
      <c r="F173" s="218">
        <f t="shared" si="22"/>
        <v>6606.6</v>
      </c>
      <c r="G173" s="218">
        <f t="shared" si="23"/>
        <v>6306.3</v>
      </c>
      <c r="H173" s="111">
        <f t="shared" si="24"/>
        <v>6006</v>
      </c>
      <c r="I173" s="291">
        <f t="shared" si="29"/>
        <v>6006</v>
      </c>
      <c r="J173" s="296"/>
      <c r="K173" s="111">
        <f t="shared" si="20"/>
        <v>5089.8305084745762</v>
      </c>
      <c r="M173" s="294">
        <v>4290</v>
      </c>
    </row>
    <row r="174" spans="1:13" ht="12.75" x14ac:dyDescent="0.2">
      <c r="A174" s="710"/>
      <c r="B174" s="14" t="s">
        <v>197</v>
      </c>
      <c r="C174" s="7" t="s">
        <v>4</v>
      </c>
      <c r="D174" s="284"/>
      <c r="E174" s="218">
        <f t="shared" si="21"/>
        <v>10113.599999999999</v>
      </c>
      <c r="F174" s="218">
        <f t="shared" si="22"/>
        <v>7946.4</v>
      </c>
      <c r="G174" s="218">
        <f t="shared" si="23"/>
        <v>7585.2</v>
      </c>
      <c r="H174" s="111">
        <f t="shared" si="24"/>
        <v>7223.9999999999991</v>
      </c>
      <c r="I174" s="291">
        <f t="shared" si="29"/>
        <v>7223.9999999999991</v>
      </c>
      <c r="J174" s="296"/>
      <c r="K174" s="111">
        <f t="shared" si="20"/>
        <v>6122.0338983050842</v>
      </c>
      <c r="M174" s="294">
        <v>5160</v>
      </c>
    </row>
    <row r="175" spans="1:13" ht="12.75" x14ac:dyDescent="0.2">
      <c r="A175" s="710"/>
      <c r="B175" s="14" t="s">
        <v>192</v>
      </c>
      <c r="C175" s="7" t="s">
        <v>5</v>
      </c>
      <c r="D175" s="284"/>
      <c r="E175" s="218">
        <f t="shared" si="21"/>
        <v>9270.7999999999993</v>
      </c>
      <c r="F175" s="218">
        <f t="shared" si="22"/>
        <v>7284.2000000000007</v>
      </c>
      <c r="G175" s="218">
        <f t="shared" si="23"/>
        <v>6953.1</v>
      </c>
      <c r="H175" s="111">
        <f t="shared" si="24"/>
        <v>6622</v>
      </c>
      <c r="I175" s="291">
        <f t="shared" si="29"/>
        <v>6622</v>
      </c>
      <c r="J175" s="296"/>
      <c r="K175" s="111">
        <f t="shared" si="20"/>
        <v>5611.8644067796613</v>
      </c>
      <c r="M175" s="294">
        <v>4730</v>
      </c>
    </row>
    <row r="176" spans="1:13" ht="12.75" x14ac:dyDescent="0.2">
      <c r="A176" s="710"/>
      <c r="B176" s="14" t="s">
        <v>198</v>
      </c>
      <c r="C176" s="7" t="s">
        <v>5</v>
      </c>
      <c r="D176" s="284"/>
      <c r="E176" s="218">
        <f t="shared" si="21"/>
        <v>11171.999999999998</v>
      </c>
      <c r="F176" s="218">
        <f t="shared" si="22"/>
        <v>8778</v>
      </c>
      <c r="G176" s="218">
        <f t="shared" si="23"/>
        <v>8379</v>
      </c>
      <c r="H176" s="111">
        <f t="shared" si="24"/>
        <v>7979.9999999999991</v>
      </c>
      <c r="I176" s="291">
        <f t="shared" si="29"/>
        <v>7979.9999999999991</v>
      </c>
      <c r="J176" s="296"/>
      <c r="K176" s="111">
        <f t="shared" si="20"/>
        <v>6762.7118644067796</v>
      </c>
      <c r="M176" s="294">
        <v>5700</v>
      </c>
    </row>
    <row r="177" spans="1:13" ht="12.75" x14ac:dyDescent="0.2">
      <c r="A177" s="710"/>
      <c r="B177" s="14" t="s">
        <v>366</v>
      </c>
      <c r="C177" s="7" t="s">
        <v>75</v>
      </c>
      <c r="D177" s="284"/>
      <c r="E177" s="218">
        <f t="shared" si="21"/>
        <v>14014</v>
      </c>
      <c r="F177" s="218">
        <f t="shared" si="22"/>
        <v>11011</v>
      </c>
      <c r="G177" s="218">
        <f t="shared" si="23"/>
        <v>10510.5</v>
      </c>
      <c r="H177" s="111">
        <f t="shared" si="24"/>
        <v>10010</v>
      </c>
      <c r="I177" s="291">
        <f t="shared" si="29"/>
        <v>10010</v>
      </c>
      <c r="J177" s="296"/>
      <c r="K177" s="111">
        <f t="shared" si="20"/>
        <v>8483.0508474576272</v>
      </c>
      <c r="M177" s="294">
        <v>7150.0000000000009</v>
      </c>
    </row>
    <row r="178" spans="1:13" ht="12.75" x14ac:dyDescent="0.2">
      <c r="A178" s="710"/>
      <c r="B178" s="14" t="s">
        <v>367</v>
      </c>
      <c r="C178" s="7" t="s">
        <v>75</v>
      </c>
      <c r="D178" s="284"/>
      <c r="E178" s="218">
        <f t="shared" si="21"/>
        <v>16856</v>
      </c>
      <c r="F178" s="218">
        <f t="shared" si="22"/>
        <v>13244.000000000002</v>
      </c>
      <c r="G178" s="218">
        <f t="shared" si="23"/>
        <v>12642</v>
      </c>
      <c r="H178" s="111">
        <f t="shared" si="24"/>
        <v>12040</v>
      </c>
      <c r="I178" s="291">
        <f t="shared" si="29"/>
        <v>12040</v>
      </c>
      <c r="J178" s="296"/>
      <c r="K178" s="111">
        <f t="shared" si="20"/>
        <v>10203.389830508475</v>
      </c>
      <c r="M178" s="294">
        <v>8600</v>
      </c>
    </row>
    <row r="179" spans="1:13" ht="15.75" customHeight="1" x14ac:dyDescent="0.2">
      <c r="A179" s="710"/>
      <c r="B179" s="14" t="s">
        <v>266</v>
      </c>
      <c r="C179" s="7" t="s">
        <v>89</v>
      </c>
      <c r="D179" s="266" t="s">
        <v>285</v>
      </c>
      <c r="E179" s="218">
        <f t="shared" si="21"/>
        <v>9781.7999999999993</v>
      </c>
      <c r="F179" s="218">
        <f t="shared" si="22"/>
        <v>7685.7000000000007</v>
      </c>
      <c r="G179" s="218">
        <f t="shared" si="23"/>
        <v>7336.35</v>
      </c>
      <c r="H179" s="111">
        <f t="shared" si="24"/>
        <v>6987</v>
      </c>
      <c r="I179" s="291">
        <f t="shared" si="29"/>
        <v>5782</v>
      </c>
      <c r="J179" s="296">
        <v>1205</v>
      </c>
      <c r="K179" s="111">
        <f t="shared" si="20"/>
        <v>5921.1864406779669</v>
      </c>
      <c r="M179" s="294">
        <v>4130</v>
      </c>
    </row>
    <row r="180" spans="1:13" ht="16.5" customHeight="1" x14ac:dyDescent="0.2">
      <c r="A180" s="710"/>
      <c r="B180" s="14" t="s">
        <v>271</v>
      </c>
      <c r="C180" s="7" t="s">
        <v>89</v>
      </c>
      <c r="D180" s="266" t="s">
        <v>285</v>
      </c>
      <c r="E180" s="218">
        <f t="shared" si="21"/>
        <v>11875.08</v>
      </c>
      <c r="F180" s="218">
        <f t="shared" si="22"/>
        <v>9330.4200000000019</v>
      </c>
      <c r="G180" s="218">
        <f t="shared" si="23"/>
        <v>8906.3100000000013</v>
      </c>
      <c r="H180" s="111">
        <f t="shared" si="24"/>
        <v>8482.2000000000007</v>
      </c>
      <c r="I180" s="291">
        <f t="shared" si="29"/>
        <v>7277.2</v>
      </c>
      <c r="J180" s="296">
        <v>1205</v>
      </c>
      <c r="K180" s="111">
        <f t="shared" si="20"/>
        <v>7188.3050847457635</v>
      </c>
      <c r="M180" s="294">
        <v>5198</v>
      </c>
    </row>
    <row r="181" spans="1:13" ht="13.5" customHeight="1" x14ac:dyDescent="0.2">
      <c r="A181" s="710"/>
      <c r="B181" s="14" t="s">
        <v>267</v>
      </c>
      <c r="C181" s="7" t="s">
        <v>90</v>
      </c>
      <c r="D181" s="266" t="s">
        <v>286</v>
      </c>
      <c r="E181" s="218">
        <f t="shared" si="21"/>
        <v>10390.799999999999</v>
      </c>
      <c r="F181" s="218">
        <f t="shared" si="22"/>
        <v>8164.2000000000007</v>
      </c>
      <c r="G181" s="218">
        <f t="shared" si="23"/>
        <v>7793.1</v>
      </c>
      <c r="H181" s="111">
        <f t="shared" si="24"/>
        <v>7422</v>
      </c>
      <c r="I181" s="291">
        <f t="shared" si="29"/>
        <v>6132</v>
      </c>
      <c r="J181" s="296">
        <v>1290</v>
      </c>
      <c r="K181" s="111">
        <f t="shared" si="20"/>
        <v>6289.8305084745762</v>
      </c>
      <c r="M181" s="294">
        <v>4380</v>
      </c>
    </row>
    <row r="182" spans="1:13" ht="12.75" customHeight="1" x14ac:dyDescent="0.2">
      <c r="A182" s="710"/>
      <c r="B182" s="14" t="s">
        <v>272</v>
      </c>
      <c r="C182" s="7" t="s">
        <v>90</v>
      </c>
      <c r="D182" s="266" t="s">
        <v>286</v>
      </c>
      <c r="E182" s="218">
        <f t="shared" si="21"/>
        <v>12615.4</v>
      </c>
      <c r="F182" s="218">
        <f t="shared" si="22"/>
        <v>9912.1</v>
      </c>
      <c r="G182" s="218">
        <f t="shared" si="23"/>
        <v>9461.5500000000011</v>
      </c>
      <c r="H182" s="111">
        <f t="shared" si="24"/>
        <v>9011</v>
      </c>
      <c r="I182" s="291">
        <f t="shared" si="29"/>
        <v>7720.9999999999991</v>
      </c>
      <c r="J182" s="296">
        <v>1290</v>
      </c>
      <c r="K182" s="111">
        <f t="shared" si="20"/>
        <v>7636.4406779661022</v>
      </c>
      <c r="M182" s="294">
        <v>5515</v>
      </c>
    </row>
    <row r="183" spans="1:13" ht="14.25" customHeight="1" x14ac:dyDescent="0.2">
      <c r="A183" s="710"/>
      <c r="B183" s="14" t="s">
        <v>268</v>
      </c>
      <c r="C183" s="7" t="s">
        <v>91</v>
      </c>
      <c r="D183" s="266" t="s">
        <v>287</v>
      </c>
      <c r="E183" s="218">
        <f t="shared" si="21"/>
        <v>13858.599999999999</v>
      </c>
      <c r="F183" s="218">
        <f t="shared" si="22"/>
        <v>10888.900000000001</v>
      </c>
      <c r="G183" s="218">
        <f t="shared" si="23"/>
        <v>10393.950000000001</v>
      </c>
      <c r="H183" s="111">
        <f t="shared" si="24"/>
        <v>9899</v>
      </c>
      <c r="I183" s="291">
        <f t="shared" si="29"/>
        <v>7510.9999999999991</v>
      </c>
      <c r="J183" s="296">
        <v>2388</v>
      </c>
      <c r="K183" s="111">
        <f t="shared" si="20"/>
        <v>8388.9830508474588</v>
      </c>
      <c r="M183" s="294">
        <v>5365</v>
      </c>
    </row>
    <row r="184" spans="1:13" ht="16.5" customHeight="1" x14ac:dyDescent="0.2">
      <c r="A184" s="710"/>
      <c r="B184" s="14" t="s">
        <v>273</v>
      </c>
      <c r="C184" s="7" t="s">
        <v>91</v>
      </c>
      <c r="D184" s="266" t="s">
        <v>287</v>
      </c>
      <c r="E184" s="218">
        <f t="shared" si="21"/>
        <v>16906.399999999998</v>
      </c>
      <c r="F184" s="218">
        <f t="shared" si="22"/>
        <v>13283.6</v>
      </c>
      <c r="G184" s="218">
        <f t="shared" si="23"/>
        <v>12679.800000000001</v>
      </c>
      <c r="H184" s="111">
        <f t="shared" si="24"/>
        <v>12076</v>
      </c>
      <c r="I184" s="291">
        <f t="shared" si="29"/>
        <v>9688</v>
      </c>
      <c r="J184" s="296">
        <v>2388</v>
      </c>
      <c r="K184" s="111">
        <f t="shared" si="20"/>
        <v>10233.898305084746</v>
      </c>
      <c r="M184" s="294">
        <v>6920</v>
      </c>
    </row>
    <row r="185" spans="1:13" ht="18.75" customHeight="1" x14ac:dyDescent="0.2">
      <c r="A185" s="710"/>
      <c r="B185" s="14" t="s">
        <v>269</v>
      </c>
      <c r="C185" s="7" t="s">
        <v>87</v>
      </c>
      <c r="D185" s="266" t="s">
        <v>288</v>
      </c>
      <c r="E185" s="218">
        <f t="shared" si="21"/>
        <v>17270.96</v>
      </c>
      <c r="F185" s="218">
        <f t="shared" si="22"/>
        <v>13570.04</v>
      </c>
      <c r="G185" s="218">
        <f t="shared" si="23"/>
        <v>12953.22</v>
      </c>
      <c r="H185" s="111">
        <f t="shared" si="24"/>
        <v>12336.4</v>
      </c>
      <c r="I185" s="291">
        <f t="shared" si="29"/>
        <v>9640.4</v>
      </c>
      <c r="J185" s="296">
        <v>2696</v>
      </c>
      <c r="K185" s="111">
        <f t="shared" si="20"/>
        <v>10454.576271186441</v>
      </c>
      <c r="M185" s="294">
        <v>6886</v>
      </c>
    </row>
    <row r="186" spans="1:13" ht="14.25" customHeight="1" x14ac:dyDescent="0.2">
      <c r="A186" s="710"/>
      <c r="B186" s="14" t="s">
        <v>274</v>
      </c>
      <c r="C186" s="7" t="s">
        <v>87</v>
      </c>
      <c r="D186" s="266" t="s">
        <v>288</v>
      </c>
      <c r="E186" s="218">
        <f t="shared" si="21"/>
        <v>21014.559999999998</v>
      </c>
      <c r="F186" s="218">
        <f t="shared" si="22"/>
        <v>16511.440000000002</v>
      </c>
      <c r="G186" s="218">
        <f t="shared" si="23"/>
        <v>15760.92</v>
      </c>
      <c r="H186" s="111">
        <f t="shared" si="24"/>
        <v>15010.4</v>
      </c>
      <c r="I186" s="291">
        <f t="shared" si="29"/>
        <v>12314.4</v>
      </c>
      <c r="J186" s="296">
        <v>2696</v>
      </c>
      <c r="K186" s="111">
        <f t="shared" si="20"/>
        <v>12720.677966101695</v>
      </c>
      <c r="M186" s="294">
        <v>8796</v>
      </c>
    </row>
    <row r="187" spans="1:13" ht="15.75" customHeight="1" x14ac:dyDescent="0.2">
      <c r="A187" s="710"/>
      <c r="B187" s="14" t="s">
        <v>270</v>
      </c>
      <c r="C187" s="7" t="s">
        <v>88</v>
      </c>
      <c r="D187" s="266" t="s">
        <v>289</v>
      </c>
      <c r="E187" s="218">
        <f t="shared" si="21"/>
        <v>26382.216</v>
      </c>
      <c r="F187" s="218">
        <f t="shared" si="22"/>
        <v>20728.884000000005</v>
      </c>
      <c r="G187" s="218">
        <f t="shared" si="23"/>
        <v>19786.662000000004</v>
      </c>
      <c r="H187" s="111">
        <f t="shared" si="24"/>
        <v>18844.440000000002</v>
      </c>
      <c r="I187" s="291">
        <f t="shared" si="29"/>
        <v>10999.800000000001</v>
      </c>
      <c r="J187" s="296">
        <v>7844.64</v>
      </c>
      <c r="K187" s="111">
        <f t="shared" si="20"/>
        <v>15969.864406779663</v>
      </c>
      <c r="M187" s="294">
        <v>7857.0000000000018</v>
      </c>
    </row>
    <row r="188" spans="1:13" ht="15.75" customHeight="1" thickBot="1" x14ac:dyDescent="0.25">
      <c r="A188" s="718"/>
      <c r="B188" s="173" t="s">
        <v>275</v>
      </c>
      <c r="C188" s="174" t="s">
        <v>88</v>
      </c>
      <c r="D188" s="268" t="s">
        <v>289</v>
      </c>
      <c r="E188" s="218">
        <f t="shared" si="21"/>
        <v>32399.415999999997</v>
      </c>
      <c r="F188" s="218">
        <f t="shared" si="22"/>
        <v>25456.684000000001</v>
      </c>
      <c r="G188" s="218">
        <f t="shared" si="23"/>
        <v>24299.561999999998</v>
      </c>
      <c r="H188" s="111">
        <f t="shared" si="24"/>
        <v>23142.44</v>
      </c>
      <c r="I188" s="291">
        <f t="shared" si="29"/>
        <v>15297.8</v>
      </c>
      <c r="J188" s="296">
        <v>7844.64</v>
      </c>
      <c r="K188" s="111">
        <f t="shared" si="20"/>
        <v>19612.237288135591</v>
      </c>
      <c r="M188" s="294">
        <v>10927</v>
      </c>
    </row>
    <row r="189" spans="1:13" ht="13.5" thickTop="1" x14ac:dyDescent="0.2">
      <c r="A189" s="717" t="s">
        <v>145</v>
      </c>
      <c r="B189" s="160" t="s">
        <v>513</v>
      </c>
      <c r="C189" s="161" t="s">
        <v>13</v>
      </c>
      <c r="D189" s="269"/>
      <c r="E189" s="218">
        <f t="shared" si="21"/>
        <v>5717.2500000000009</v>
      </c>
      <c r="F189" s="218">
        <f t="shared" si="22"/>
        <v>4492.1250000000009</v>
      </c>
      <c r="G189" s="218">
        <f t="shared" si="23"/>
        <v>4287.9375000000009</v>
      </c>
      <c r="H189" s="111">
        <f t="shared" si="24"/>
        <v>4083.7500000000009</v>
      </c>
      <c r="I189" s="291">
        <f>M189*1.35</f>
        <v>4083.7500000000009</v>
      </c>
      <c r="J189" s="296"/>
      <c r="K189" s="111">
        <f t="shared" si="20"/>
        <v>3460.8050847457635</v>
      </c>
      <c r="M189" s="294">
        <v>3025.0000000000005</v>
      </c>
    </row>
    <row r="190" spans="1:13" ht="12.75" x14ac:dyDescent="0.2">
      <c r="A190" s="710"/>
      <c r="B190" s="14" t="s">
        <v>514</v>
      </c>
      <c r="C190" s="7" t="s">
        <v>75</v>
      </c>
      <c r="D190" s="284"/>
      <c r="E190" s="218">
        <f t="shared" si="21"/>
        <v>10810.800000000001</v>
      </c>
      <c r="F190" s="218">
        <f t="shared" si="22"/>
        <v>8494.2000000000025</v>
      </c>
      <c r="G190" s="218">
        <f t="shared" si="23"/>
        <v>8108.1000000000022</v>
      </c>
      <c r="H190" s="111">
        <f t="shared" si="24"/>
        <v>7722.0000000000018</v>
      </c>
      <c r="I190" s="291">
        <f>M190*1.35</f>
        <v>7722.0000000000018</v>
      </c>
      <c r="J190" s="296"/>
      <c r="K190" s="111">
        <f t="shared" si="20"/>
        <v>6544.0677966101712</v>
      </c>
      <c r="M190" s="294">
        <v>5720.0000000000009</v>
      </c>
    </row>
    <row r="191" spans="1:13" ht="13.5" customHeight="1" thickBot="1" x14ac:dyDescent="0.25">
      <c r="A191" s="718"/>
      <c r="B191" s="173" t="s">
        <v>515</v>
      </c>
      <c r="C191" s="174" t="s">
        <v>92</v>
      </c>
      <c r="D191" s="268" t="s">
        <v>291</v>
      </c>
      <c r="E191" s="218">
        <f t="shared" si="21"/>
        <v>7831.46</v>
      </c>
      <c r="F191" s="218">
        <f t="shared" si="22"/>
        <v>6153.2900000000009</v>
      </c>
      <c r="G191" s="218">
        <f t="shared" si="23"/>
        <v>5873.5950000000012</v>
      </c>
      <c r="H191" s="111">
        <f t="shared" si="24"/>
        <v>5593.9000000000005</v>
      </c>
      <c r="I191" s="291">
        <f>M191*1.35</f>
        <v>4392.9000000000005</v>
      </c>
      <c r="J191" s="296">
        <v>1201</v>
      </c>
      <c r="K191" s="111">
        <f t="shared" si="20"/>
        <v>4740.5932203389839</v>
      </c>
      <c r="M191" s="294">
        <v>3254</v>
      </c>
    </row>
    <row r="192" spans="1:13" ht="13.5" thickTop="1" x14ac:dyDescent="0.2">
      <c r="A192" s="717" t="s">
        <v>160</v>
      </c>
      <c r="B192" s="160" t="s">
        <v>516</v>
      </c>
      <c r="C192" s="181" t="s">
        <v>74</v>
      </c>
      <c r="D192" s="283"/>
      <c r="E192" s="218">
        <f t="shared" si="21"/>
        <v>3439.7999999999997</v>
      </c>
      <c r="F192" s="218">
        <f t="shared" si="22"/>
        <v>2702.7000000000003</v>
      </c>
      <c r="G192" s="218">
        <f t="shared" si="23"/>
        <v>2579.85</v>
      </c>
      <c r="H192" s="111">
        <f t="shared" si="24"/>
        <v>2457</v>
      </c>
      <c r="I192" s="291">
        <f>M192*1.35</f>
        <v>2457</v>
      </c>
      <c r="J192" s="296"/>
      <c r="K192" s="111">
        <f t="shared" si="20"/>
        <v>2082.2033898305085</v>
      </c>
      <c r="M192" s="294">
        <v>1820</v>
      </c>
    </row>
    <row r="193" spans="1:13" ht="15" customHeight="1" thickBot="1" x14ac:dyDescent="0.25">
      <c r="A193" s="718"/>
      <c r="B193" s="173" t="s">
        <v>517</v>
      </c>
      <c r="C193" s="174" t="s">
        <v>104</v>
      </c>
      <c r="D193" s="268" t="s">
        <v>285</v>
      </c>
      <c r="E193" s="218">
        <f t="shared" si="21"/>
        <v>5334.7</v>
      </c>
      <c r="F193" s="218">
        <f t="shared" si="22"/>
        <v>4191.55</v>
      </c>
      <c r="G193" s="218">
        <f t="shared" si="23"/>
        <v>4001.0250000000001</v>
      </c>
      <c r="H193" s="111">
        <f t="shared" si="24"/>
        <v>3810.5</v>
      </c>
      <c r="I193" s="291">
        <f>M193*1.35</f>
        <v>2605.5</v>
      </c>
      <c r="J193" s="296">
        <v>1205</v>
      </c>
      <c r="K193" s="111">
        <f t="shared" si="20"/>
        <v>3229.2372881355932</v>
      </c>
      <c r="M193" s="294">
        <v>1930</v>
      </c>
    </row>
    <row r="194" spans="1:13" ht="16.5" thickTop="1" x14ac:dyDescent="0.25">
      <c r="A194" s="121"/>
      <c r="B194" s="217" t="s">
        <v>163</v>
      </c>
      <c r="C194" s="17"/>
      <c r="D194" s="258"/>
      <c r="E194" s="222"/>
      <c r="F194" s="222"/>
      <c r="G194" s="222"/>
      <c r="H194" s="129"/>
      <c r="I194" s="291"/>
      <c r="J194" s="296"/>
      <c r="K194" s="129"/>
    </row>
    <row r="195" spans="1:13" s="1" customFormat="1" ht="26.25" customHeight="1" x14ac:dyDescent="0.2">
      <c r="A195" s="711" t="s">
        <v>163</v>
      </c>
      <c r="B195" s="2" t="s">
        <v>47</v>
      </c>
      <c r="C195" s="9" t="s">
        <v>116</v>
      </c>
      <c r="D195" s="286"/>
      <c r="E195" s="218"/>
      <c r="F195" s="218"/>
      <c r="G195" s="218"/>
      <c r="H195" s="111"/>
      <c r="I195" s="292"/>
      <c r="J195" s="297"/>
      <c r="K195" s="111"/>
    </row>
    <row r="196" spans="1:13" ht="26.25" customHeight="1" x14ac:dyDescent="0.2">
      <c r="A196" s="711"/>
      <c r="B196" s="4" t="s">
        <v>48</v>
      </c>
      <c r="C196" s="9" t="s">
        <v>117</v>
      </c>
      <c r="D196" s="286"/>
      <c r="E196" s="218"/>
      <c r="F196" s="218"/>
      <c r="G196" s="218"/>
      <c r="H196" s="111"/>
      <c r="I196" s="291"/>
      <c r="J196" s="296"/>
      <c r="K196" s="111"/>
    </row>
    <row r="197" spans="1:13" ht="26.25" customHeight="1" x14ac:dyDescent="0.2">
      <c r="A197" s="711"/>
      <c r="B197" s="4" t="s">
        <v>49</v>
      </c>
      <c r="C197" s="9" t="s">
        <v>118</v>
      </c>
      <c r="D197" s="286"/>
      <c r="E197" s="218"/>
      <c r="F197" s="218"/>
      <c r="G197" s="218"/>
      <c r="H197" s="111"/>
      <c r="I197" s="291"/>
      <c r="J197" s="296"/>
      <c r="K197" s="111"/>
    </row>
    <row r="198" spans="1:13" ht="26.25" customHeight="1" x14ac:dyDescent="0.2">
      <c r="A198" s="711"/>
      <c r="B198" s="4" t="s">
        <v>50</v>
      </c>
      <c r="C198" s="9" t="s">
        <v>119</v>
      </c>
      <c r="D198" s="286"/>
      <c r="E198" s="218"/>
      <c r="F198" s="218"/>
      <c r="G198" s="218"/>
      <c r="H198" s="111"/>
      <c r="I198" s="291"/>
      <c r="J198" s="296"/>
      <c r="K198" s="111"/>
    </row>
    <row r="199" spans="1:13" ht="24" customHeight="1" x14ac:dyDescent="0.2">
      <c r="A199" s="711"/>
      <c r="B199" s="4" t="s">
        <v>528</v>
      </c>
      <c r="C199" s="9" t="s">
        <v>121</v>
      </c>
      <c r="D199" s="286"/>
      <c r="E199" s="218"/>
      <c r="F199" s="218"/>
      <c r="G199" s="218"/>
      <c r="H199" s="111"/>
      <c r="I199" s="291"/>
      <c r="J199" s="296"/>
      <c r="K199" s="111"/>
    </row>
    <row r="200" spans="1:13" ht="27" customHeight="1" x14ac:dyDescent="0.2">
      <c r="A200" s="711"/>
      <c r="B200" s="4" t="s">
        <v>461</v>
      </c>
      <c r="C200" s="9" t="s">
        <v>462</v>
      </c>
      <c r="D200" s="286"/>
      <c r="E200" s="223"/>
      <c r="F200" s="223"/>
      <c r="G200" s="224"/>
      <c r="H200" s="118"/>
      <c r="I200" s="291"/>
      <c r="J200" s="296"/>
      <c r="K200" s="118"/>
    </row>
    <row r="201" spans="1:13" ht="23.25" customHeight="1" x14ac:dyDescent="0.2">
      <c r="A201" s="711"/>
      <c r="B201" s="4" t="s">
        <v>52</v>
      </c>
      <c r="C201" s="9" t="s">
        <v>120</v>
      </c>
      <c r="D201" s="286"/>
      <c r="E201" s="218"/>
      <c r="F201" s="218"/>
      <c r="G201" s="218"/>
      <c r="H201" s="111"/>
      <c r="I201" s="291"/>
      <c r="J201" s="296"/>
      <c r="K201" s="111"/>
    </row>
    <row r="202" spans="1:13" ht="30" customHeight="1" x14ac:dyDescent="0.2">
      <c r="A202" s="711"/>
      <c r="B202" s="4" t="s">
        <v>548</v>
      </c>
      <c r="C202" s="9"/>
      <c r="D202" s="286"/>
      <c r="E202" s="218"/>
      <c r="F202" s="218"/>
      <c r="G202" s="218"/>
      <c r="H202" s="111"/>
      <c r="I202" s="291"/>
      <c r="J202" s="296"/>
      <c r="K202" s="111"/>
    </row>
    <row r="203" spans="1:13" ht="15.75" customHeight="1" x14ac:dyDescent="0.2">
      <c r="A203" s="711"/>
      <c r="B203" s="4" t="s">
        <v>54</v>
      </c>
      <c r="C203" s="9" t="s">
        <v>122</v>
      </c>
      <c r="D203" s="286"/>
      <c r="E203" s="218"/>
      <c r="F203" s="218"/>
      <c r="G203" s="218"/>
      <c r="H203" s="111"/>
      <c r="I203" s="291"/>
      <c r="J203" s="296"/>
      <c r="K203" s="111"/>
    </row>
    <row r="204" spans="1:13" ht="15.75" customHeight="1" x14ac:dyDescent="0.2">
      <c r="A204" s="711"/>
      <c r="B204" s="4" t="s">
        <v>55</v>
      </c>
      <c r="C204" s="9" t="s">
        <v>123</v>
      </c>
      <c r="D204" s="286"/>
      <c r="E204" s="218"/>
      <c r="F204" s="218"/>
      <c r="G204" s="218"/>
      <c r="H204" s="111"/>
      <c r="I204" s="291"/>
      <c r="J204" s="296"/>
      <c r="K204" s="111"/>
    </row>
    <row r="205" spans="1:13" ht="15.75" customHeight="1" x14ac:dyDescent="0.2">
      <c r="A205" s="711"/>
      <c r="B205" s="4" t="s">
        <v>56</v>
      </c>
      <c r="C205" s="9" t="s">
        <v>124</v>
      </c>
      <c r="D205" s="286"/>
      <c r="E205" s="218"/>
      <c r="F205" s="218"/>
      <c r="G205" s="218"/>
      <c r="H205" s="111"/>
      <c r="I205" s="291"/>
      <c r="J205" s="296"/>
      <c r="K205" s="111"/>
    </row>
    <row r="206" spans="1:13" ht="26.25" customHeight="1" x14ac:dyDescent="0.2">
      <c r="A206" s="711"/>
      <c r="B206" s="4" t="s">
        <v>57</v>
      </c>
      <c r="C206" s="9" t="s">
        <v>129</v>
      </c>
      <c r="D206" s="286"/>
      <c r="E206" s="218"/>
      <c r="F206" s="218"/>
      <c r="G206" s="218"/>
      <c r="H206" s="111"/>
      <c r="I206" s="291"/>
      <c r="J206" s="296"/>
      <c r="K206" s="111"/>
    </row>
    <row r="207" spans="1:13" ht="26.25" customHeight="1" x14ac:dyDescent="0.2">
      <c r="A207" s="711"/>
      <c r="B207" s="4" t="s">
        <v>58</v>
      </c>
      <c r="C207" s="9" t="s">
        <v>130</v>
      </c>
      <c r="D207" s="286"/>
      <c r="E207" s="218"/>
      <c r="F207" s="218"/>
      <c r="G207" s="218"/>
      <c r="H207" s="111"/>
      <c r="I207" s="291"/>
      <c r="J207" s="296"/>
      <c r="K207" s="111"/>
    </row>
    <row r="208" spans="1:13" ht="26.25" customHeight="1" x14ac:dyDescent="0.2">
      <c r="A208" s="711"/>
      <c r="B208" s="4" t="s">
        <v>59</v>
      </c>
      <c r="C208" s="9" t="s">
        <v>131</v>
      </c>
      <c r="D208" s="286"/>
      <c r="E208" s="218"/>
      <c r="F208" s="218"/>
      <c r="G208" s="218"/>
      <c r="H208" s="111"/>
      <c r="I208" s="291"/>
      <c r="J208" s="296"/>
      <c r="K208" s="111"/>
    </row>
    <row r="209" spans="1:11" ht="26.25" customHeight="1" x14ac:dyDescent="0.2">
      <c r="A209" s="711"/>
      <c r="B209" s="4" t="s">
        <v>60</v>
      </c>
      <c r="C209" s="9" t="s">
        <v>132</v>
      </c>
      <c r="D209" s="286"/>
      <c r="E209" s="218"/>
      <c r="F209" s="218"/>
      <c r="G209" s="218"/>
      <c r="H209" s="111"/>
      <c r="I209" s="291"/>
      <c r="J209" s="296"/>
      <c r="K209" s="111"/>
    </row>
    <row r="210" spans="1:11" ht="15.75" customHeight="1" x14ac:dyDescent="0.2">
      <c r="A210" s="711"/>
      <c r="B210" s="4" t="s">
        <v>328</v>
      </c>
      <c r="C210" s="9" t="s">
        <v>125</v>
      </c>
      <c r="D210" s="286"/>
      <c r="E210" s="218"/>
      <c r="F210" s="218"/>
      <c r="G210" s="218"/>
      <c r="H210" s="111"/>
      <c r="I210" s="291"/>
      <c r="J210" s="296"/>
      <c r="K210" s="111"/>
    </row>
    <row r="211" spans="1:11" ht="14.25" customHeight="1" x14ac:dyDescent="0.2">
      <c r="A211" s="711"/>
      <c r="B211" s="4" t="s">
        <v>331</v>
      </c>
      <c r="C211" s="9" t="s">
        <v>125</v>
      </c>
      <c r="D211" s="286"/>
      <c r="E211" s="218"/>
      <c r="F211" s="218"/>
      <c r="G211" s="218"/>
      <c r="H211" s="111"/>
      <c r="I211" s="291"/>
      <c r="J211" s="296"/>
      <c r="K211" s="111"/>
    </row>
    <row r="212" spans="1:11" ht="14.25" customHeight="1" x14ac:dyDescent="0.2">
      <c r="A212" s="711"/>
      <c r="B212" s="4" t="s">
        <v>330</v>
      </c>
      <c r="C212" s="9" t="s">
        <v>126</v>
      </c>
      <c r="D212" s="286"/>
      <c r="E212" s="218"/>
      <c r="F212" s="218"/>
      <c r="G212" s="309"/>
      <c r="H212" s="310"/>
      <c r="I212" s="291"/>
      <c r="J212" s="296"/>
      <c r="K212" s="111"/>
    </row>
    <row r="213" spans="1:11" ht="14.25" customHeight="1" x14ac:dyDescent="0.2">
      <c r="A213" s="711"/>
      <c r="B213" s="4" t="s">
        <v>329</v>
      </c>
      <c r="C213" s="9" t="s">
        <v>127</v>
      </c>
      <c r="D213" s="286"/>
      <c r="E213" s="218"/>
      <c r="F213" s="218"/>
      <c r="G213" s="309"/>
      <c r="H213" s="310"/>
      <c r="I213" s="291"/>
      <c r="J213" s="296"/>
      <c r="K213" s="111"/>
    </row>
    <row r="214" spans="1:11" ht="14.25" customHeight="1" x14ac:dyDescent="0.25">
      <c r="A214" s="711"/>
      <c r="B214" s="311" t="s">
        <v>567</v>
      </c>
      <c r="C214" s="9" t="s">
        <v>571</v>
      </c>
      <c r="D214" s="286"/>
      <c r="E214" s="218"/>
      <c r="F214" s="218"/>
      <c r="G214" s="309"/>
      <c r="H214" s="310"/>
      <c r="I214" s="291"/>
      <c r="J214" s="296"/>
      <c r="K214" s="111"/>
    </row>
    <row r="215" spans="1:11" ht="15.75" customHeight="1" x14ac:dyDescent="0.25">
      <c r="A215" s="711"/>
      <c r="B215" s="311" t="s">
        <v>568</v>
      </c>
      <c r="C215" s="9" t="s">
        <v>572</v>
      </c>
      <c r="D215" s="286"/>
      <c r="E215" s="218"/>
      <c r="F215" s="218"/>
      <c r="G215" s="218"/>
      <c r="H215" s="111"/>
      <c r="I215" s="291"/>
      <c r="J215" s="296"/>
      <c r="K215" s="111"/>
    </row>
    <row r="216" spans="1:11" ht="15.75" customHeight="1" x14ac:dyDescent="0.25">
      <c r="A216" s="711"/>
      <c r="B216" s="311" t="s">
        <v>569</v>
      </c>
      <c r="C216" s="9" t="s">
        <v>570</v>
      </c>
      <c r="D216" s="286"/>
      <c r="E216" s="218"/>
      <c r="F216" s="218"/>
      <c r="G216" s="218"/>
      <c r="H216" s="111"/>
      <c r="I216" s="291"/>
      <c r="J216" s="296"/>
      <c r="K216" s="111"/>
    </row>
    <row r="217" spans="1:11" ht="24.75" customHeight="1" x14ac:dyDescent="0.2">
      <c r="A217" s="711"/>
      <c r="B217" s="120" t="s">
        <v>364</v>
      </c>
      <c r="C217" s="41" t="s">
        <v>344</v>
      </c>
      <c r="D217" s="286"/>
      <c r="E217" s="218"/>
      <c r="F217" s="218"/>
      <c r="G217" s="218"/>
      <c r="H217" s="111"/>
      <c r="I217" s="291"/>
      <c r="J217" s="296"/>
      <c r="K217" s="111"/>
    </row>
    <row r="218" spans="1:11" ht="17.25" customHeight="1" x14ac:dyDescent="0.2">
      <c r="A218" s="711"/>
      <c r="B218" s="4" t="s">
        <v>300</v>
      </c>
      <c r="C218" s="9" t="s">
        <v>128</v>
      </c>
      <c r="D218" s="286"/>
      <c r="E218" s="218"/>
      <c r="F218" s="218"/>
      <c r="G218" s="218"/>
      <c r="H218" s="111"/>
      <c r="I218" s="291"/>
      <c r="J218" s="296"/>
      <c r="K218" s="111"/>
    </row>
    <row r="220" spans="1:11" x14ac:dyDescent="0.25">
      <c r="B220" s="15" t="s">
        <v>299</v>
      </c>
    </row>
    <row r="221" spans="1:11" x14ac:dyDescent="0.25">
      <c r="B221" s="11" t="s">
        <v>217</v>
      </c>
      <c r="C221"/>
      <c r="D221" s="287"/>
      <c r="E221" s="97"/>
      <c r="F221" s="97"/>
      <c r="G221" s="97"/>
      <c r="H221" s="113"/>
      <c r="K221" s="113"/>
    </row>
    <row r="222" spans="1:11" x14ac:dyDescent="0.25">
      <c r="B222" s="11" t="s">
        <v>519</v>
      </c>
      <c r="C222"/>
      <c r="D222" s="287"/>
      <c r="E222" s="97"/>
      <c r="F222" s="97"/>
      <c r="G222" s="97"/>
      <c r="H222" s="113"/>
      <c r="K222" s="113"/>
    </row>
    <row r="223" spans="1:11" x14ac:dyDescent="0.25">
      <c r="B223" s="11" t="s">
        <v>518</v>
      </c>
      <c r="C223"/>
      <c r="D223" s="287"/>
      <c r="H223" s="113"/>
      <c r="K223" s="113"/>
    </row>
    <row r="224" spans="1:11" x14ac:dyDescent="0.25">
      <c r="B224" s="11" t="s">
        <v>590</v>
      </c>
      <c r="C224"/>
      <c r="D224" s="287"/>
    </row>
    <row r="225" spans="2:4" x14ac:dyDescent="0.25">
      <c r="B225" s="11" t="s">
        <v>202</v>
      </c>
      <c r="C225"/>
      <c r="D225" s="287"/>
    </row>
    <row r="226" spans="2:4" x14ac:dyDescent="0.25">
      <c r="B226" s="11" t="s">
        <v>199</v>
      </c>
      <c r="C226"/>
      <c r="D226" s="287"/>
    </row>
    <row r="227" spans="2:4" x14ac:dyDescent="0.25">
      <c r="B227" s="11" t="s">
        <v>201</v>
      </c>
      <c r="C227"/>
      <c r="D227" s="287"/>
    </row>
    <row r="228" spans="2:4" x14ac:dyDescent="0.25">
      <c r="B228" s="15" t="s">
        <v>183</v>
      </c>
      <c r="C228"/>
      <c r="D228" s="287"/>
    </row>
    <row r="229" spans="2:4" x14ac:dyDescent="0.25">
      <c r="B229" s="15" t="s">
        <v>182</v>
      </c>
      <c r="C229"/>
      <c r="D229" s="287"/>
    </row>
    <row r="230" spans="2:4" x14ac:dyDescent="0.25">
      <c r="B230" s="15" t="s">
        <v>206</v>
      </c>
      <c r="C230"/>
      <c r="D230" s="287"/>
    </row>
    <row r="231" spans="2:4" x14ac:dyDescent="0.25">
      <c r="B231" s="15" t="s">
        <v>207</v>
      </c>
      <c r="C231"/>
      <c r="D231" s="287"/>
    </row>
    <row r="232" spans="2:4" x14ac:dyDescent="0.25">
      <c r="B232" s="15" t="s">
        <v>587</v>
      </c>
    </row>
    <row r="233" spans="2:4" x14ac:dyDescent="0.25">
      <c r="B233" s="15" t="s">
        <v>588</v>
      </c>
    </row>
    <row r="234" spans="2:4" x14ac:dyDescent="0.25">
      <c r="B234" s="15" t="s">
        <v>589</v>
      </c>
    </row>
    <row r="235" spans="2:4" x14ac:dyDescent="0.25">
      <c r="B235" s="15" t="s">
        <v>205</v>
      </c>
    </row>
    <row r="236" spans="2:4" x14ac:dyDescent="0.25">
      <c r="B236" s="15" t="s">
        <v>204</v>
      </c>
    </row>
    <row r="237" spans="2:4" x14ac:dyDescent="0.25">
      <c r="B237" s="11" t="s">
        <v>203</v>
      </c>
    </row>
  </sheetData>
  <mergeCells count="34">
    <mergeCell ref="A144:A147"/>
    <mergeCell ref="A195:A218"/>
    <mergeCell ref="A148:A149"/>
    <mergeCell ref="A150:A152"/>
    <mergeCell ref="A153:A158"/>
    <mergeCell ref="A167:A188"/>
    <mergeCell ref="A189:A191"/>
    <mergeCell ref="A192:A193"/>
    <mergeCell ref="A159:A166"/>
    <mergeCell ref="A119:A120"/>
    <mergeCell ref="A121:A125"/>
    <mergeCell ref="A126:A129"/>
    <mergeCell ref="A130:A133"/>
    <mergeCell ref="A134:A143"/>
    <mergeCell ref="A100:A101"/>
    <mergeCell ref="A102:A106"/>
    <mergeCell ref="A107:A109"/>
    <mergeCell ref="A110:A111"/>
    <mergeCell ref="A112:A118"/>
    <mergeCell ref="A59:A68"/>
    <mergeCell ref="A69:A83"/>
    <mergeCell ref="A92:A94"/>
    <mergeCell ref="A84:A91"/>
    <mergeCell ref="A95:A99"/>
    <mergeCell ref="A26:A30"/>
    <mergeCell ref="A6:A8"/>
    <mergeCell ref="A31:A33"/>
    <mergeCell ref="A35:A36"/>
    <mergeCell ref="A37:A58"/>
    <mergeCell ref="A1:D1"/>
    <mergeCell ref="A9:A11"/>
    <mergeCell ref="A13:A15"/>
    <mergeCell ref="A16:A22"/>
    <mergeCell ref="A23:A25"/>
  </mergeCells>
  <pageMargins left="0.23622047244094491" right="0.23622047244094491" top="7.874015748031496E-2" bottom="7.874015748031496E-2" header="0.31496062992125984" footer="0.31496062992125984"/>
  <pageSetup paperSize="9" scale="93" fitToHeight="0" orientation="landscape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262"/>
  <sheetViews>
    <sheetView workbookViewId="0">
      <selection sqref="A1:IV65536"/>
    </sheetView>
  </sheetViews>
  <sheetFormatPr defaultRowHeight="15.75" x14ac:dyDescent="0.25"/>
  <cols>
    <col min="1" max="1" width="14.42578125" style="393" customWidth="1"/>
    <col min="2" max="2" width="51.7109375" customWidth="1"/>
    <col min="3" max="3" width="13.7109375" customWidth="1"/>
    <col min="4" max="4" width="17.28515625" style="339" customWidth="1"/>
    <col min="5" max="5" width="8.7109375" style="351" customWidth="1"/>
    <col min="6" max="6" width="8.140625" style="349" customWidth="1"/>
    <col min="7" max="7" width="8.85546875" style="349" customWidth="1"/>
    <col min="8" max="8" width="8" style="349" customWidth="1"/>
    <col min="9" max="9" width="8.28515625" style="350" customWidth="1"/>
    <col min="10" max="10" width="8.140625" style="340" customWidth="1"/>
    <col min="11" max="11" width="9.7109375" style="357" hidden="1" customWidth="1"/>
    <col min="13" max="13" width="0" hidden="1" customWidth="1"/>
  </cols>
  <sheetData>
    <row r="1" spans="1:13" ht="105" customHeight="1" x14ac:dyDescent="0.2">
      <c r="A1" s="726" t="s">
        <v>598</v>
      </c>
      <c r="B1" s="749"/>
      <c r="C1" s="749"/>
      <c r="D1" s="749"/>
      <c r="E1" s="749"/>
      <c r="F1" s="749"/>
      <c r="G1" s="749"/>
      <c r="H1" s="349" t="s">
        <v>537</v>
      </c>
    </row>
    <row r="2" spans="1:13" x14ac:dyDescent="0.25">
      <c r="B2" s="347" t="s">
        <v>547</v>
      </c>
    </row>
    <row r="3" spans="1:13" x14ac:dyDescent="0.25">
      <c r="B3" s="347" t="s">
        <v>562</v>
      </c>
      <c r="I3" s="350" t="s">
        <v>561</v>
      </c>
      <c r="M3" t="s">
        <v>545</v>
      </c>
    </row>
    <row r="4" spans="1:13" s="339" customFormat="1" ht="90" x14ac:dyDescent="0.25">
      <c r="A4" s="394" t="s">
        <v>133</v>
      </c>
      <c r="B4" s="345" t="s">
        <v>16</v>
      </c>
      <c r="C4" s="345" t="s">
        <v>43</v>
      </c>
      <c r="D4" s="345" t="s">
        <v>298</v>
      </c>
      <c r="E4" s="352" t="s">
        <v>546</v>
      </c>
      <c r="F4" s="352" t="s">
        <v>523</v>
      </c>
      <c r="G4" s="352" t="s">
        <v>522</v>
      </c>
      <c r="H4" s="352" t="s">
        <v>521</v>
      </c>
      <c r="I4" s="353" t="s">
        <v>591</v>
      </c>
      <c r="J4" s="346" t="s">
        <v>533</v>
      </c>
      <c r="K4" s="358" t="s">
        <v>536</v>
      </c>
    </row>
    <row r="5" spans="1:13" ht="18" x14ac:dyDescent="0.25">
      <c r="A5" s="732" t="s">
        <v>599</v>
      </c>
      <c r="B5" s="733"/>
      <c r="C5" s="733"/>
      <c r="D5" s="733"/>
      <c r="E5" s="733"/>
      <c r="F5" s="733"/>
      <c r="G5" s="733"/>
      <c r="H5" s="733"/>
      <c r="I5" s="733"/>
      <c r="J5" s="733"/>
      <c r="K5" s="734"/>
    </row>
    <row r="6" spans="1:13" ht="12.75" x14ac:dyDescent="0.2">
      <c r="A6" s="748" t="s">
        <v>594</v>
      </c>
      <c r="B6" s="337" t="s">
        <v>596</v>
      </c>
      <c r="C6" s="337" t="s">
        <v>618</v>
      </c>
      <c r="D6" s="338"/>
      <c r="E6" s="354">
        <f t="shared" ref="E6:E26" si="0">H6*1.4</f>
        <v>4620</v>
      </c>
      <c r="F6" s="355">
        <f t="shared" ref="F6:F26" si="1">H6*1.1</f>
        <v>3630.0000000000005</v>
      </c>
      <c r="G6" s="355">
        <f t="shared" ref="G6:G26" si="2">H6*1.05</f>
        <v>3465</v>
      </c>
      <c r="H6" s="355">
        <f t="shared" ref="H6:H26" si="3">I6+J6</f>
        <v>3300</v>
      </c>
      <c r="I6" s="356">
        <v>3300</v>
      </c>
      <c r="J6" s="341"/>
      <c r="K6" s="359">
        <f t="shared" ref="K6:K27" si="4">H6/1.18</f>
        <v>2796.6101694915255</v>
      </c>
    </row>
    <row r="7" spans="1:13" ht="12.75" x14ac:dyDescent="0.2">
      <c r="A7" s="748"/>
      <c r="B7" s="337" t="s">
        <v>595</v>
      </c>
      <c r="C7" s="337" t="s">
        <v>106</v>
      </c>
      <c r="D7" s="338" t="s">
        <v>292</v>
      </c>
      <c r="E7" s="354">
        <f t="shared" si="0"/>
        <v>11911.199999999999</v>
      </c>
      <c r="F7" s="355">
        <f t="shared" si="1"/>
        <v>9358.8000000000011</v>
      </c>
      <c r="G7" s="355">
        <f t="shared" si="2"/>
        <v>8933.4</v>
      </c>
      <c r="H7" s="355">
        <f t="shared" si="3"/>
        <v>8508</v>
      </c>
      <c r="I7" s="356">
        <v>6950</v>
      </c>
      <c r="J7" s="341">
        <v>1558</v>
      </c>
      <c r="K7" s="359">
        <f t="shared" si="4"/>
        <v>7210.1694915254238</v>
      </c>
    </row>
    <row r="8" spans="1:13" ht="12.75" x14ac:dyDescent="0.2">
      <c r="A8" s="748"/>
      <c r="B8" s="337" t="s">
        <v>597</v>
      </c>
      <c r="C8" s="337" t="s">
        <v>619</v>
      </c>
      <c r="D8" s="338"/>
      <c r="E8" s="354">
        <f t="shared" si="0"/>
        <v>20160</v>
      </c>
      <c r="F8" s="355">
        <f t="shared" si="1"/>
        <v>15840.000000000002</v>
      </c>
      <c r="G8" s="355">
        <f t="shared" si="2"/>
        <v>15120</v>
      </c>
      <c r="H8" s="355">
        <f t="shared" si="3"/>
        <v>14400</v>
      </c>
      <c r="I8" s="356">
        <v>14400</v>
      </c>
      <c r="J8" s="341"/>
      <c r="K8" s="359">
        <f t="shared" si="4"/>
        <v>12203.389830508475</v>
      </c>
    </row>
    <row r="9" spans="1:13" ht="12.75" x14ac:dyDescent="0.2">
      <c r="A9" s="741" t="s">
        <v>136</v>
      </c>
      <c r="B9" s="337" t="s">
        <v>463</v>
      </c>
      <c r="C9" s="337" t="s">
        <v>355</v>
      </c>
      <c r="D9" s="338"/>
      <c r="E9" s="354">
        <f t="shared" si="0"/>
        <v>24040.799999999999</v>
      </c>
      <c r="F9" s="355">
        <f t="shared" si="1"/>
        <v>18889.2</v>
      </c>
      <c r="G9" s="355">
        <f t="shared" si="2"/>
        <v>18030.600000000002</v>
      </c>
      <c r="H9" s="355">
        <f t="shared" si="3"/>
        <v>17172</v>
      </c>
      <c r="I9" s="356">
        <f t="shared" ref="I9:I15" si="5">M9*1.35</f>
        <v>17172</v>
      </c>
      <c r="J9" s="341"/>
      <c r="K9" s="359">
        <f t="shared" si="4"/>
        <v>14552.542372881357</v>
      </c>
      <c r="M9">
        <v>12720</v>
      </c>
    </row>
    <row r="10" spans="1:13" ht="12.75" x14ac:dyDescent="0.2">
      <c r="A10" s="739"/>
      <c r="B10" s="337" t="s">
        <v>464</v>
      </c>
      <c r="C10" s="337" t="s">
        <v>82</v>
      </c>
      <c r="D10" s="338"/>
      <c r="E10" s="354">
        <f t="shared" si="0"/>
        <v>19126.8</v>
      </c>
      <c r="F10" s="355">
        <f t="shared" si="1"/>
        <v>15028.2</v>
      </c>
      <c r="G10" s="355">
        <f t="shared" si="2"/>
        <v>14345.1</v>
      </c>
      <c r="H10" s="355">
        <f t="shared" si="3"/>
        <v>13662</v>
      </c>
      <c r="I10" s="356">
        <f t="shared" si="5"/>
        <v>13662</v>
      </c>
      <c r="J10" s="341"/>
      <c r="K10" s="359">
        <f t="shared" si="4"/>
        <v>11577.966101694916</v>
      </c>
      <c r="M10">
        <v>10120</v>
      </c>
    </row>
    <row r="11" spans="1:13" ht="25.5" x14ac:dyDescent="0.2">
      <c r="A11" s="742"/>
      <c r="B11" s="337" t="s">
        <v>465</v>
      </c>
      <c r="C11" s="337" t="s">
        <v>96</v>
      </c>
      <c r="D11" s="338" t="s">
        <v>542</v>
      </c>
      <c r="E11" s="354">
        <f t="shared" si="0"/>
        <v>33295.64</v>
      </c>
      <c r="F11" s="355">
        <f t="shared" si="1"/>
        <v>26160.860000000004</v>
      </c>
      <c r="G11" s="355">
        <f t="shared" si="2"/>
        <v>24971.730000000003</v>
      </c>
      <c r="H11" s="355">
        <f t="shared" si="3"/>
        <v>23782.600000000002</v>
      </c>
      <c r="I11" s="356">
        <f t="shared" si="5"/>
        <v>18543.600000000002</v>
      </c>
      <c r="J11" s="341">
        <v>5239</v>
      </c>
      <c r="K11" s="359">
        <f t="shared" si="4"/>
        <v>20154.745762711867</v>
      </c>
      <c r="M11">
        <v>13736</v>
      </c>
    </row>
    <row r="12" spans="1:13" ht="12.75" x14ac:dyDescent="0.2">
      <c r="A12" s="741" t="s">
        <v>141</v>
      </c>
      <c r="B12" s="337" t="s">
        <v>498</v>
      </c>
      <c r="C12" s="337" t="s">
        <v>354</v>
      </c>
      <c r="D12" s="338"/>
      <c r="E12" s="354">
        <f t="shared" si="0"/>
        <v>15592.499999999998</v>
      </c>
      <c r="F12" s="355">
        <f t="shared" si="1"/>
        <v>12251.250000000002</v>
      </c>
      <c r="G12" s="355">
        <f t="shared" si="2"/>
        <v>11694.375</v>
      </c>
      <c r="H12" s="355">
        <f t="shared" si="3"/>
        <v>11137.5</v>
      </c>
      <c r="I12" s="356">
        <f t="shared" si="5"/>
        <v>11137.5</v>
      </c>
      <c r="J12" s="341"/>
      <c r="K12" s="359">
        <f t="shared" si="4"/>
        <v>9438.5593220338997</v>
      </c>
      <c r="M12">
        <v>8250</v>
      </c>
    </row>
    <row r="13" spans="1:13" ht="12.75" x14ac:dyDescent="0.2">
      <c r="A13" s="739"/>
      <c r="B13" s="337" t="s">
        <v>499</v>
      </c>
      <c r="C13" s="337" t="s">
        <v>85</v>
      </c>
      <c r="D13" s="338"/>
      <c r="E13" s="354">
        <f t="shared" si="0"/>
        <v>16216.199999999999</v>
      </c>
      <c r="F13" s="355">
        <f t="shared" si="1"/>
        <v>12741.300000000001</v>
      </c>
      <c r="G13" s="355">
        <f t="shared" si="2"/>
        <v>12162.15</v>
      </c>
      <c r="H13" s="355">
        <f t="shared" si="3"/>
        <v>11583</v>
      </c>
      <c r="I13" s="356">
        <f t="shared" si="5"/>
        <v>11583</v>
      </c>
      <c r="J13" s="341"/>
      <c r="K13" s="359">
        <f t="shared" si="4"/>
        <v>9816.1016949152545</v>
      </c>
      <c r="M13">
        <v>8580</v>
      </c>
    </row>
    <row r="14" spans="1:13" ht="12.75" x14ac:dyDescent="0.2">
      <c r="A14" s="739"/>
      <c r="B14" s="337" t="s">
        <v>500</v>
      </c>
      <c r="C14" s="337" t="s">
        <v>92</v>
      </c>
      <c r="D14" s="338" t="s">
        <v>281</v>
      </c>
      <c r="E14" s="354">
        <f t="shared" si="0"/>
        <v>13280.33</v>
      </c>
      <c r="F14" s="355">
        <f t="shared" si="1"/>
        <v>10434.545000000002</v>
      </c>
      <c r="G14" s="355">
        <f t="shared" si="2"/>
        <v>9960.2475000000013</v>
      </c>
      <c r="H14" s="355">
        <f t="shared" si="3"/>
        <v>9485.9500000000007</v>
      </c>
      <c r="I14" s="356">
        <f t="shared" si="5"/>
        <v>6502.9500000000016</v>
      </c>
      <c r="J14" s="341">
        <v>2983</v>
      </c>
      <c r="K14" s="359">
        <f t="shared" si="4"/>
        <v>8038.9406779661031</v>
      </c>
      <c r="M14">
        <v>4817.0000000000009</v>
      </c>
    </row>
    <row r="15" spans="1:13" ht="12.75" x14ac:dyDescent="0.2">
      <c r="A15" s="742"/>
      <c r="B15" s="337" t="s">
        <v>501</v>
      </c>
      <c r="C15" s="337" t="s">
        <v>92</v>
      </c>
      <c r="D15" s="338" t="s">
        <v>281</v>
      </c>
      <c r="E15" s="354">
        <f t="shared" si="0"/>
        <v>19205.48</v>
      </c>
      <c r="F15" s="355">
        <f t="shared" si="1"/>
        <v>15090.020000000002</v>
      </c>
      <c r="G15" s="355">
        <f t="shared" si="2"/>
        <v>14404.11</v>
      </c>
      <c r="H15" s="355">
        <f t="shared" si="3"/>
        <v>13718.2</v>
      </c>
      <c r="I15" s="356">
        <f t="shared" si="5"/>
        <v>10735.2</v>
      </c>
      <c r="J15" s="341">
        <v>2983</v>
      </c>
      <c r="K15" s="359">
        <f t="shared" si="4"/>
        <v>11625.593220338984</v>
      </c>
      <c r="M15">
        <v>7952</v>
      </c>
    </row>
    <row r="16" spans="1:13" ht="12.75" x14ac:dyDescent="0.2">
      <c r="A16" s="741" t="s">
        <v>142</v>
      </c>
      <c r="B16" s="337" t="s">
        <v>502</v>
      </c>
      <c r="C16" s="337" t="s">
        <v>73</v>
      </c>
      <c r="D16" s="338"/>
      <c r="E16" s="354">
        <f t="shared" si="0"/>
        <v>5291.9999999999991</v>
      </c>
      <c r="F16" s="355">
        <f t="shared" si="1"/>
        <v>4158</v>
      </c>
      <c r="G16" s="355">
        <f t="shared" si="2"/>
        <v>3968.9999999999995</v>
      </c>
      <c r="H16" s="355">
        <f t="shared" si="3"/>
        <v>3779.9999999999995</v>
      </c>
      <c r="I16" s="356">
        <f t="shared" ref="I16:I25" si="6">M16*1.4</f>
        <v>3779.9999999999995</v>
      </c>
      <c r="J16" s="341"/>
      <c r="K16" s="359">
        <f t="shared" si="4"/>
        <v>3203.3898305084745</v>
      </c>
      <c r="M16">
        <v>2700</v>
      </c>
    </row>
    <row r="17" spans="1:13" ht="12.75" x14ac:dyDescent="0.2">
      <c r="A17" s="739"/>
      <c r="B17" s="337" t="s">
        <v>503</v>
      </c>
      <c r="C17" s="337" t="s">
        <v>72</v>
      </c>
      <c r="D17" s="338"/>
      <c r="E17" s="354">
        <f t="shared" si="0"/>
        <v>6536.5999999999995</v>
      </c>
      <c r="F17" s="355">
        <f t="shared" si="1"/>
        <v>5135.9000000000005</v>
      </c>
      <c r="G17" s="355">
        <f t="shared" si="2"/>
        <v>4902.45</v>
      </c>
      <c r="H17" s="355">
        <f t="shared" si="3"/>
        <v>4669</v>
      </c>
      <c r="I17" s="356">
        <f t="shared" si="6"/>
        <v>4669</v>
      </c>
      <c r="J17" s="341"/>
      <c r="K17" s="359">
        <f t="shared" si="4"/>
        <v>3956.7796610169494</v>
      </c>
      <c r="M17">
        <v>3335</v>
      </c>
    </row>
    <row r="18" spans="1:13" ht="12.75" x14ac:dyDescent="0.2">
      <c r="A18" s="739"/>
      <c r="B18" s="337" t="s">
        <v>504</v>
      </c>
      <c r="C18" s="337" t="s">
        <v>71</v>
      </c>
      <c r="D18" s="338"/>
      <c r="E18" s="354">
        <f t="shared" si="0"/>
        <v>8908.1999999999989</v>
      </c>
      <c r="F18" s="355">
        <f t="shared" si="1"/>
        <v>6999.3</v>
      </c>
      <c r="G18" s="355">
        <f t="shared" si="2"/>
        <v>6681.1500000000005</v>
      </c>
      <c r="H18" s="355">
        <f t="shared" si="3"/>
        <v>6363</v>
      </c>
      <c r="I18" s="356">
        <f t="shared" si="6"/>
        <v>6363</v>
      </c>
      <c r="J18" s="341"/>
      <c r="K18" s="359">
        <f t="shared" si="4"/>
        <v>5392.3728813559328</v>
      </c>
      <c r="M18">
        <v>4545</v>
      </c>
    </row>
    <row r="19" spans="1:13" ht="12.75" x14ac:dyDescent="0.2">
      <c r="A19" s="739"/>
      <c r="B19" s="337" t="s">
        <v>505</v>
      </c>
      <c r="C19" s="337" t="s">
        <v>78</v>
      </c>
      <c r="D19" s="338"/>
      <c r="E19" s="354">
        <f t="shared" si="0"/>
        <v>11495.4</v>
      </c>
      <c r="F19" s="355">
        <f t="shared" si="1"/>
        <v>9032.1</v>
      </c>
      <c r="G19" s="355">
        <f t="shared" si="2"/>
        <v>8621.5500000000011</v>
      </c>
      <c r="H19" s="355">
        <f t="shared" si="3"/>
        <v>8211</v>
      </c>
      <c r="I19" s="356">
        <f t="shared" si="6"/>
        <v>8211</v>
      </c>
      <c r="J19" s="341"/>
      <c r="K19" s="359">
        <f t="shared" si="4"/>
        <v>6958.4745762711864</v>
      </c>
      <c r="M19">
        <v>5865</v>
      </c>
    </row>
    <row r="20" spans="1:13" ht="12.75" x14ac:dyDescent="0.2">
      <c r="A20" s="739"/>
      <c r="B20" s="337" t="s">
        <v>506</v>
      </c>
      <c r="C20" s="337" t="s">
        <v>78</v>
      </c>
      <c r="D20" s="338"/>
      <c r="E20" s="354">
        <f t="shared" si="0"/>
        <v>16228.8</v>
      </c>
      <c r="F20" s="355">
        <f t="shared" si="1"/>
        <v>12751.2</v>
      </c>
      <c r="G20" s="355">
        <f t="shared" si="2"/>
        <v>12171.6</v>
      </c>
      <c r="H20" s="355">
        <f t="shared" si="3"/>
        <v>11592</v>
      </c>
      <c r="I20" s="356">
        <f t="shared" si="6"/>
        <v>11592</v>
      </c>
      <c r="J20" s="341"/>
      <c r="K20" s="359">
        <f t="shared" si="4"/>
        <v>9823.7288135593226</v>
      </c>
      <c r="M20">
        <v>8280</v>
      </c>
    </row>
    <row r="21" spans="1:13" ht="12.75" x14ac:dyDescent="0.2">
      <c r="A21" s="739"/>
      <c r="B21" s="337" t="s">
        <v>507</v>
      </c>
      <c r="C21" s="337" t="s">
        <v>79</v>
      </c>
      <c r="D21" s="338"/>
      <c r="E21" s="354">
        <f t="shared" si="0"/>
        <v>11073.999999999998</v>
      </c>
      <c r="F21" s="355">
        <f t="shared" si="1"/>
        <v>8701</v>
      </c>
      <c r="G21" s="355">
        <f t="shared" si="2"/>
        <v>8305.5</v>
      </c>
      <c r="H21" s="355">
        <f t="shared" si="3"/>
        <v>7909.9999999999991</v>
      </c>
      <c r="I21" s="356">
        <f t="shared" si="6"/>
        <v>7909.9999999999991</v>
      </c>
      <c r="J21" s="341"/>
      <c r="K21" s="359">
        <f t="shared" si="4"/>
        <v>6703.389830508474</v>
      </c>
      <c r="M21">
        <v>5650</v>
      </c>
    </row>
    <row r="22" spans="1:13" ht="12.75" x14ac:dyDescent="0.2">
      <c r="A22" s="739"/>
      <c r="B22" s="337" t="s">
        <v>508</v>
      </c>
      <c r="C22" s="337" t="s">
        <v>79</v>
      </c>
      <c r="D22" s="338"/>
      <c r="E22" s="354">
        <f t="shared" si="0"/>
        <v>11073.999999999998</v>
      </c>
      <c r="F22" s="355">
        <f t="shared" si="1"/>
        <v>8701</v>
      </c>
      <c r="G22" s="355">
        <f t="shared" si="2"/>
        <v>8305.5</v>
      </c>
      <c r="H22" s="355">
        <f t="shared" si="3"/>
        <v>7909.9999999999991</v>
      </c>
      <c r="I22" s="356">
        <f t="shared" si="6"/>
        <v>7909.9999999999991</v>
      </c>
      <c r="J22" s="341"/>
      <c r="K22" s="359">
        <f t="shared" si="4"/>
        <v>6703.389830508474</v>
      </c>
      <c r="M22">
        <v>5650</v>
      </c>
    </row>
    <row r="23" spans="1:13" ht="12.75" x14ac:dyDescent="0.2">
      <c r="A23" s="739"/>
      <c r="B23" s="337" t="s">
        <v>509</v>
      </c>
      <c r="C23" s="337" t="s">
        <v>114</v>
      </c>
      <c r="D23" s="338" t="s">
        <v>296</v>
      </c>
      <c r="E23" s="354">
        <f t="shared" si="0"/>
        <v>9032.5199999999986</v>
      </c>
      <c r="F23" s="355">
        <f t="shared" si="1"/>
        <v>7096.98</v>
      </c>
      <c r="G23" s="355">
        <f t="shared" si="2"/>
        <v>6774.3899999999994</v>
      </c>
      <c r="H23" s="355">
        <f t="shared" si="3"/>
        <v>6451.7999999999993</v>
      </c>
      <c r="I23" s="356">
        <f t="shared" si="6"/>
        <v>4895.7999999999993</v>
      </c>
      <c r="J23" s="341">
        <v>1556</v>
      </c>
      <c r="K23" s="359">
        <f t="shared" si="4"/>
        <v>5467.6271186440672</v>
      </c>
      <c r="M23">
        <v>3497</v>
      </c>
    </row>
    <row r="24" spans="1:13" ht="12.75" x14ac:dyDescent="0.2">
      <c r="A24" s="739"/>
      <c r="B24" s="337" t="s">
        <v>510</v>
      </c>
      <c r="C24" s="337" t="s">
        <v>113</v>
      </c>
      <c r="D24" s="338" t="s">
        <v>296</v>
      </c>
      <c r="E24" s="354">
        <f t="shared" si="0"/>
        <v>11051.319999999998</v>
      </c>
      <c r="F24" s="355">
        <f t="shared" si="1"/>
        <v>8683.18</v>
      </c>
      <c r="G24" s="355">
        <f t="shared" si="2"/>
        <v>8288.49</v>
      </c>
      <c r="H24" s="355">
        <f t="shared" si="3"/>
        <v>7893.7999999999993</v>
      </c>
      <c r="I24" s="356">
        <f t="shared" si="6"/>
        <v>6337.7999999999993</v>
      </c>
      <c r="J24" s="341">
        <v>1556</v>
      </c>
      <c r="K24" s="359">
        <f t="shared" si="4"/>
        <v>6689.6610169491523</v>
      </c>
      <c r="M24">
        <v>4527</v>
      </c>
    </row>
    <row r="25" spans="1:13" ht="12.75" x14ac:dyDescent="0.2">
      <c r="A25" s="742"/>
      <c r="B25" s="337" t="s">
        <v>511</v>
      </c>
      <c r="C25" s="337" t="s">
        <v>112</v>
      </c>
      <c r="D25" s="338" t="s">
        <v>296</v>
      </c>
      <c r="E25" s="354">
        <f t="shared" si="0"/>
        <v>13079.919999999998</v>
      </c>
      <c r="F25" s="355">
        <f t="shared" si="1"/>
        <v>10277.08</v>
      </c>
      <c r="G25" s="355">
        <f t="shared" si="2"/>
        <v>9809.94</v>
      </c>
      <c r="H25" s="355">
        <f t="shared" si="3"/>
        <v>9342.7999999999993</v>
      </c>
      <c r="I25" s="356">
        <f t="shared" si="6"/>
        <v>7786.7999999999993</v>
      </c>
      <c r="J25" s="341">
        <v>1556</v>
      </c>
      <c r="K25" s="359">
        <f t="shared" si="4"/>
        <v>7917.6271186440672</v>
      </c>
      <c r="M25">
        <v>5562</v>
      </c>
    </row>
    <row r="26" spans="1:13" ht="15.75" customHeight="1" x14ac:dyDescent="0.2">
      <c r="A26" s="744" t="s">
        <v>610</v>
      </c>
      <c r="B26" s="5" t="s">
        <v>611</v>
      </c>
      <c r="C26" s="375" t="s">
        <v>355</v>
      </c>
      <c r="D26" s="338"/>
      <c r="E26" s="354">
        <f t="shared" si="0"/>
        <v>2100</v>
      </c>
      <c r="F26" s="355">
        <f t="shared" si="1"/>
        <v>1650.0000000000002</v>
      </c>
      <c r="G26" s="355">
        <f t="shared" si="2"/>
        <v>1575</v>
      </c>
      <c r="H26" s="355">
        <f t="shared" si="3"/>
        <v>1500</v>
      </c>
      <c r="I26" s="356">
        <v>1500</v>
      </c>
      <c r="J26" s="341"/>
      <c r="K26" s="359">
        <f t="shared" si="4"/>
        <v>1271.1864406779662</v>
      </c>
    </row>
    <row r="27" spans="1:13" ht="15.75" customHeight="1" x14ac:dyDescent="0.2">
      <c r="A27" s="729"/>
      <c r="B27" s="5" t="s">
        <v>647</v>
      </c>
      <c r="C27" s="403">
        <v>550</v>
      </c>
      <c r="D27" s="338"/>
      <c r="E27" s="354">
        <f>H27*1.4</f>
        <v>4620</v>
      </c>
      <c r="F27" s="355">
        <f>H27*1.1</f>
        <v>3630.0000000000005</v>
      </c>
      <c r="G27" s="355">
        <f>H27*1.05</f>
        <v>3465</v>
      </c>
      <c r="H27" s="355">
        <f>I27+J27</f>
        <v>3300</v>
      </c>
      <c r="I27" s="356">
        <v>3300</v>
      </c>
      <c r="J27" s="341"/>
      <c r="K27" s="359">
        <f t="shared" si="4"/>
        <v>2796.6101694915255</v>
      </c>
    </row>
    <row r="28" spans="1:13" ht="15.75" customHeight="1" x14ac:dyDescent="0.2">
      <c r="A28" s="729"/>
      <c r="B28" s="5" t="s">
        <v>613</v>
      </c>
      <c r="C28" s="375" t="s">
        <v>96</v>
      </c>
      <c r="D28" s="338" t="s">
        <v>542</v>
      </c>
      <c r="E28" s="354">
        <f>H28*1.4</f>
        <v>31134.6</v>
      </c>
      <c r="F28" s="355">
        <f>H28*1.1</f>
        <v>24462.9</v>
      </c>
      <c r="G28" s="355">
        <f>H28*1.05</f>
        <v>23350.95</v>
      </c>
      <c r="H28" s="355">
        <f>I28+J28</f>
        <v>22239</v>
      </c>
      <c r="I28" s="356">
        <v>17000</v>
      </c>
      <c r="J28" s="341">
        <v>5239</v>
      </c>
      <c r="K28" s="359">
        <f>H28/1.18</f>
        <v>18846.610169491527</v>
      </c>
    </row>
    <row r="29" spans="1:13" ht="15.75" customHeight="1" x14ac:dyDescent="0.2">
      <c r="A29" s="727"/>
      <c r="B29" s="5" t="s">
        <v>612</v>
      </c>
      <c r="C29" s="375" t="s">
        <v>82</v>
      </c>
      <c r="D29" s="338"/>
      <c r="E29" s="354">
        <f>H29*1.4</f>
        <v>25200</v>
      </c>
      <c r="F29" s="355">
        <f>H29*1.1</f>
        <v>19800</v>
      </c>
      <c r="G29" s="355">
        <f>H29*1.05</f>
        <v>18900</v>
      </c>
      <c r="H29" s="355">
        <f>I29+J29</f>
        <v>18000</v>
      </c>
      <c r="I29" s="356">
        <v>18000</v>
      </c>
      <c r="J29" s="341"/>
      <c r="K29" s="359">
        <f>H29/1.18</f>
        <v>15254.237288135593</v>
      </c>
    </row>
    <row r="30" spans="1:13" ht="18" x14ac:dyDescent="0.25">
      <c r="A30" s="732" t="s">
        <v>600</v>
      </c>
      <c r="B30" s="733"/>
      <c r="C30" s="733"/>
      <c r="D30" s="733"/>
      <c r="E30" s="733"/>
      <c r="F30" s="733"/>
      <c r="G30" s="733"/>
      <c r="H30" s="733"/>
      <c r="I30" s="733"/>
      <c r="J30" s="733"/>
      <c r="K30" s="734"/>
    </row>
    <row r="31" spans="1:13" ht="12.75" x14ac:dyDescent="0.2">
      <c r="A31" s="741" t="s">
        <v>150</v>
      </c>
      <c r="B31" s="337" t="s">
        <v>21</v>
      </c>
      <c r="C31" s="337" t="s">
        <v>12</v>
      </c>
      <c r="D31" s="338"/>
      <c r="E31" s="354">
        <f t="shared" ref="E31:E62" si="7">H31*1.4</f>
        <v>5197.5</v>
      </c>
      <c r="F31" s="355">
        <f t="shared" ref="F31:F62" si="8">H31*1.1</f>
        <v>4083.7500000000009</v>
      </c>
      <c r="G31" s="355">
        <f t="shared" ref="G31:G62" si="9">H31*1.05</f>
        <v>3898.1250000000005</v>
      </c>
      <c r="H31" s="355">
        <f t="shared" ref="H31:H62" si="10">I31+J31</f>
        <v>3712.5000000000005</v>
      </c>
      <c r="I31" s="356">
        <f>M31*1.35</f>
        <v>3712.5000000000005</v>
      </c>
      <c r="J31" s="341"/>
      <c r="K31" s="359">
        <f t="shared" ref="K31:K62" si="11">H31/1.18</f>
        <v>3146.1864406779669</v>
      </c>
      <c r="M31">
        <v>2750</v>
      </c>
    </row>
    <row r="32" spans="1:13" ht="12.75" x14ac:dyDescent="0.2">
      <c r="A32" s="739"/>
      <c r="B32" s="337" t="s">
        <v>433</v>
      </c>
      <c r="C32" s="337" t="s">
        <v>92</v>
      </c>
      <c r="D32" s="338"/>
      <c r="E32" s="354">
        <f t="shared" si="7"/>
        <v>14553.000000000002</v>
      </c>
      <c r="F32" s="355">
        <f t="shared" si="8"/>
        <v>11434.500000000004</v>
      </c>
      <c r="G32" s="355">
        <f t="shared" si="9"/>
        <v>10914.750000000002</v>
      </c>
      <c r="H32" s="355">
        <f t="shared" si="10"/>
        <v>10395.000000000002</v>
      </c>
      <c r="I32" s="356">
        <f t="shared" ref="I32:I51" si="12">M32*1.35</f>
        <v>10395.000000000002</v>
      </c>
      <c r="J32" s="341"/>
      <c r="K32" s="359">
        <f t="shared" si="11"/>
        <v>8809.3220338983065</v>
      </c>
      <c r="M32">
        <v>7700.0000000000009</v>
      </c>
    </row>
    <row r="33" spans="1:13" ht="12.75" x14ac:dyDescent="0.2">
      <c r="A33" s="742"/>
      <c r="B33" s="337" t="s">
        <v>434</v>
      </c>
      <c r="C33" s="337" t="s">
        <v>435</v>
      </c>
      <c r="D33" s="338"/>
      <c r="E33" s="354">
        <f t="shared" si="7"/>
        <v>10187.1</v>
      </c>
      <c r="F33" s="355">
        <f t="shared" si="8"/>
        <v>8004.1500000000015</v>
      </c>
      <c r="G33" s="355">
        <f t="shared" si="9"/>
        <v>7640.3250000000016</v>
      </c>
      <c r="H33" s="355">
        <f t="shared" si="10"/>
        <v>7276.5000000000009</v>
      </c>
      <c r="I33" s="356">
        <f t="shared" si="12"/>
        <v>7276.5000000000009</v>
      </c>
      <c r="J33" s="341"/>
      <c r="K33" s="359">
        <f t="shared" si="11"/>
        <v>6166.5254237288145</v>
      </c>
      <c r="M33">
        <v>5390</v>
      </c>
    </row>
    <row r="34" spans="1:13" ht="12.75" x14ac:dyDescent="0.2">
      <c r="A34" s="741" t="s">
        <v>135</v>
      </c>
      <c r="B34" s="337" t="s">
        <v>466</v>
      </c>
      <c r="C34" s="337" t="s">
        <v>81</v>
      </c>
      <c r="D34" s="338"/>
      <c r="E34" s="354">
        <f t="shared" si="7"/>
        <v>10602.900000000001</v>
      </c>
      <c r="F34" s="355">
        <f t="shared" si="8"/>
        <v>8330.8500000000022</v>
      </c>
      <c r="G34" s="355">
        <f t="shared" si="9"/>
        <v>7952.1750000000011</v>
      </c>
      <c r="H34" s="355">
        <f t="shared" si="10"/>
        <v>7573.5000000000009</v>
      </c>
      <c r="I34" s="356">
        <f t="shared" si="12"/>
        <v>7573.5000000000009</v>
      </c>
      <c r="J34" s="341"/>
      <c r="K34" s="359">
        <f t="shared" si="11"/>
        <v>6418.220338983052</v>
      </c>
      <c r="M34">
        <v>5610</v>
      </c>
    </row>
    <row r="35" spans="1:13" ht="12.75" x14ac:dyDescent="0.2">
      <c r="A35" s="739"/>
      <c r="B35" s="337" t="s">
        <v>467</v>
      </c>
      <c r="C35" s="337" t="s">
        <v>92</v>
      </c>
      <c r="D35" s="338" t="s">
        <v>281</v>
      </c>
      <c r="E35" s="354">
        <f t="shared" si="7"/>
        <v>10057.880000000001</v>
      </c>
      <c r="F35" s="355">
        <f t="shared" si="8"/>
        <v>7902.6200000000026</v>
      </c>
      <c r="G35" s="355">
        <f t="shared" si="9"/>
        <v>7543.4100000000017</v>
      </c>
      <c r="H35" s="355">
        <f t="shared" si="10"/>
        <v>7184.2000000000016</v>
      </c>
      <c r="I35" s="356">
        <f t="shared" si="12"/>
        <v>4201.2000000000016</v>
      </c>
      <c r="J35" s="341">
        <v>2983</v>
      </c>
      <c r="K35" s="359">
        <f t="shared" si="11"/>
        <v>6088.3050847457644</v>
      </c>
      <c r="M35">
        <v>3112.0000000000009</v>
      </c>
    </row>
    <row r="36" spans="1:13" ht="12.75" x14ac:dyDescent="0.2">
      <c r="A36" s="739"/>
      <c r="B36" s="337" t="s">
        <v>468</v>
      </c>
      <c r="C36" s="337" t="s">
        <v>92</v>
      </c>
      <c r="D36" s="338" t="s">
        <v>281</v>
      </c>
      <c r="E36" s="354">
        <f t="shared" si="7"/>
        <v>10889.480000000001</v>
      </c>
      <c r="F36" s="355">
        <f t="shared" si="8"/>
        <v>8556.0200000000023</v>
      </c>
      <c r="G36" s="355">
        <f t="shared" si="9"/>
        <v>8167.1100000000024</v>
      </c>
      <c r="H36" s="355">
        <f t="shared" si="10"/>
        <v>7778.2000000000016</v>
      </c>
      <c r="I36" s="356">
        <f t="shared" si="12"/>
        <v>4795.2000000000016</v>
      </c>
      <c r="J36" s="341">
        <v>2983</v>
      </c>
      <c r="K36" s="359">
        <f t="shared" si="11"/>
        <v>6591.6949152542393</v>
      </c>
      <c r="M36">
        <v>3552.0000000000009</v>
      </c>
    </row>
    <row r="37" spans="1:13" ht="12.75" x14ac:dyDescent="0.2">
      <c r="A37" s="739"/>
      <c r="B37" s="337" t="s">
        <v>469</v>
      </c>
      <c r="C37" s="337" t="s">
        <v>94</v>
      </c>
      <c r="D37" s="338" t="s">
        <v>282</v>
      </c>
      <c r="E37" s="354">
        <f t="shared" si="7"/>
        <v>11164.300000000001</v>
      </c>
      <c r="F37" s="355">
        <f t="shared" si="8"/>
        <v>8771.9500000000025</v>
      </c>
      <c r="G37" s="355">
        <f t="shared" si="9"/>
        <v>8373.2250000000022</v>
      </c>
      <c r="H37" s="355">
        <f t="shared" si="10"/>
        <v>7974.5000000000018</v>
      </c>
      <c r="I37" s="356">
        <f t="shared" si="12"/>
        <v>4414.5000000000018</v>
      </c>
      <c r="J37" s="341">
        <v>3560</v>
      </c>
      <c r="K37" s="359">
        <f t="shared" si="11"/>
        <v>6758.0508474576291</v>
      </c>
      <c r="M37">
        <v>3270.0000000000009</v>
      </c>
    </row>
    <row r="38" spans="1:13" ht="12.75" x14ac:dyDescent="0.2">
      <c r="A38" s="739"/>
      <c r="B38" s="337" t="s">
        <v>470</v>
      </c>
      <c r="C38" s="337" t="s">
        <v>94</v>
      </c>
      <c r="D38" s="338" t="s">
        <v>282</v>
      </c>
      <c r="E38" s="354">
        <f t="shared" si="7"/>
        <v>11995.900000000001</v>
      </c>
      <c r="F38" s="355">
        <f t="shared" si="8"/>
        <v>9425.3500000000022</v>
      </c>
      <c r="G38" s="355">
        <f t="shared" si="9"/>
        <v>8996.9250000000029</v>
      </c>
      <c r="H38" s="355">
        <f t="shared" si="10"/>
        <v>8568.5000000000018</v>
      </c>
      <c r="I38" s="356">
        <f t="shared" si="12"/>
        <v>5008.5000000000018</v>
      </c>
      <c r="J38" s="341">
        <v>3560</v>
      </c>
      <c r="K38" s="359">
        <f t="shared" si="11"/>
        <v>7261.440677966104</v>
      </c>
      <c r="M38">
        <v>3710.0000000000009</v>
      </c>
    </row>
    <row r="39" spans="1:13" ht="12.75" x14ac:dyDescent="0.2">
      <c r="A39" s="739"/>
      <c r="B39" s="337" t="s">
        <v>471</v>
      </c>
      <c r="C39" s="337" t="s">
        <v>95</v>
      </c>
      <c r="D39" s="338" t="s">
        <v>283</v>
      </c>
      <c r="E39" s="354">
        <f t="shared" si="7"/>
        <v>13689.130000000001</v>
      </c>
      <c r="F39" s="355">
        <f t="shared" si="8"/>
        <v>10755.745000000001</v>
      </c>
      <c r="G39" s="355">
        <f t="shared" si="9"/>
        <v>10266.847500000002</v>
      </c>
      <c r="H39" s="355">
        <f t="shared" si="10"/>
        <v>9777.9500000000007</v>
      </c>
      <c r="I39" s="356">
        <f t="shared" si="12"/>
        <v>5314.9500000000007</v>
      </c>
      <c r="J39" s="341">
        <v>4463</v>
      </c>
      <c r="K39" s="359">
        <f t="shared" si="11"/>
        <v>8286.3983050847473</v>
      </c>
      <c r="M39">
        <v>3937</v>
      </c>
    </row>
    <row r="40" spans="1:13" ht="12.75" x14ac:dyDescent="0.2">
      <c r="A40" s="742"/>
      <c r="B40" s="337" t="s">
        <v>472</v>
      </c>
      <c r="C40" s="337" t="s">
        <v>95</v>
      </c>
      <c r="D40" s="338" t="s">
        <v>283</v>
      </c>
      <c r="E40" s="354">
        <f t="shared" si="7"/>
        <v>14520.73</v>
      </c>
      <c r="F40" s="355">
        <f t="shared" si="8"/>
        <v>11409.145000000002</v>
      </c>
      <c r="G40" s="355">
        <f t="shared" si="9"/>
        <v>10890.547500000001</v>
      </c>
      <c r="H40" s="355">
        <f t="shared" si="10"/>
        <v>10371.950000000001</v>
      </c>
      <c r="I40" s="356">
        <f t="shared" si="12"/>
        <v>5908.9500000000007</v>
      </c>
      <c r="J40" s="341">
        <v>4463</v>
      </c>
      <c r="K40" s="359">
        <f t="shared" si="11"/>
        <v>8789.7881355932223</v>
      </c>
      <c r="M40">
        <v>4377</v>
      </c>
    </row>
    <row r="41" spans="1:13" ht="12.75" x14ac:dyDescent="0.2">
      <c r="A41" s="741" t="s">
        <v>149</v>
      </c>
      <c r="B41" s="337" t="s">
        <v>24</v>
      </c>
      <c r="C41" s="337" t="s">
        <v>6</v>
      </c>
      <c r="D41" s="338"/>
      <c r="E41" s="354">
        <f t="shared" si="7"/>
        <v>4885.6500000000005</v>
      </c>
      <c r="F41" s="355">
        <f t="shared" si="8"/>
        <v>3838.7250000000008</v>
      </c>
      <c r="G41" s="355">
        <f t="shared" si="9"/>
        <v>3664.2375000000006</v>
      </c>
      <c r="H41" s="355">
        <f t="shared" si="10"/>
        <v>3489.7500000000005</v>
      </c>
      <c r="I41" s="356">
        <f t="shared" si="12"/>
        <v>3489.7500000000005</v>
      </c>
      <c r="J41" s="341"/>
      <c r="K41" s="359">
        <f t="shared" si="11"/>
        <v>2957.4152542372885</v>
      </c>
      <c r="M41">
        <v>2585</v>
      </c>
    </row>
    <row r="42" spans="1:13" ht="12.75" x14ac:dyDescent="0.2">
      <c r="A42" s="739"/>
      <c r="B42" s="337" t="s">
        <v>25</v>
      </c>
      <c r="C42" s="337" t="s">
        <v>7</v>
      </c>
      <c r="D42" s="338"/>
      <c r="E42" s="354">
        <f t="shared" si="7"/>
        <v>5197.5</v>
      </c>
      <c r="F42" s="355">
        <f t="shared" si="8"/>
        <v>4083.7500000000009</v>
      </c>
      <c r="G42" s="355">
        <f t="shared" si="9"/>
        <v>3898.1250000000005</v>
      </c>
      <c r="H42" s="355">
        <f t="shared" si="10"/>
        <v>3712.5000000000005</v>
      </c>
      <c r="I42" s="356">
        <f t="shared" si="12"/>
        <v>3712.5000000000005</v>
      </c>
      <c r="J42" s="341"/>
      <c r="K42" s="359">
        <f t="shared" si="11"/>
        <v>3146.1864406779669</v>
      </c>
      <c r="M42">
        <v>2750</v>
      </c>
    </row>
    <row r="43" spans="1:13" ht="12.75" x14ac:dyDescent="0.2">
      <c r="A43" s="742"/>
      <c r="B43" s="337" t="s">
        <v>26</v>
      </c>
      <c r="C43" s="337" t="s">
        <v>8</v>
      </c>
      <c r="D43" s="338"/>
      <c r="E43" s="354">
        <f t="shared" si="7"/>
        <v>5613.3000000000011</v>
      </c>
      <c r="F43" s="355">
        <f t="shared" si="8"/>
        <v>4410.4500000000016</v>
      </c>
      <c r="G43" s="355">
        <f t="shared" si="9"/>
        <v>4209.9750000000013</v>
      </c>
      <c r="H43" s="355">
        <f t="shared" si="10"/>
        <v>4009.5000000000009</v>
      </c>
      <c r="I43" s="356">
        <f t="shared" si="12"/>
        <v>4009.5000000000009</v>
      </c>
      <c r="J43" s="341"/>
      <c r="K43" s="359">
        <f t="shared" si="11"/>
        <v>3397.8813559322043</v>
      </c>
      <c r="M43">
        <v>2970.0000000000005</v>
      </c>
    </row>
    <row r="44" spans="1:13" ht="12.75" x14ac:dyDescent="0.2">
      <c r="A44" s="741" t="s">
        <v>304</v>
      </c>
      <c r="B44" s="337" t="s">
        <v>473</v>
      </c>
      <c r="C44" s="337" t="s">
        <v>443</v>
      </c>
      <c r="D44" s="338"/>
      <c r="E44" s="354">
        <f t="shared" si="7"/>
        <v>3307.5</v>
      </c>
      <c r="F44" s="355">
        <f t="shared" si="8"/>
        <v>2598.75</v>
      </c>
      <c r="G44" s="355">
        <f t="shared" si="9"/>
        <v>2480.625</v>
      </c>
      <c r="H44" s="355">
        <f t="shared" si="10"/>
        <v>2362.5</v>
      </c>
      <c r="I44" s="356">
        <f t="shared" si="12"/>
        <v>2362.5</v>
      </c>
      <c r="J44" s="341"/>
      <c r="K44" s="359">
        <f t="shared" si="11"/>
        <v>2002.1186440677968</v>
      </c>
      <c r="M44">
        <v>1750</v>
      </c>
    </row>
    <row r="45" spans="1:13" ht="12.75" x14ac:dyDescent="0.2">
      <c r="A45" s="739"/>
      <c r="B45" s="337" t="s">
        <v>474</v>
      </c>
      <c r="C45" s="337" t="s">
        <v>447</v>
      </c>
      <c r="D45" s="338"/>
      <c r="E45" s="354">
        <f t="shared" si="7"/>
        <v>8731.7999999999993</v>
      </c>
      <c r="F45" s="355">
        <f t="shared" si="8"/>
        <v>6860.7000000000007</v>
      </c>
      <c r="G45" s="355">
        <f t="shared" si="9"/>
        <v>6548.85</v>
      </c>
      <c r="H45" s="355">
        <f t="shared" si="10"/>
        <v>6237</v>
      </c>
      <c r="I45" s="356">
        <f t="shared" si="12"/>
        <v>6237</v>
      </c>
      <c r="J45" s="341"/>
      <c r="K45" s="359">
        <f t="shared" si="11"/>
        <v>5285.593220338983</v>
      </c>
      <c r="M45">
        <v>4620</v>
      </c>
    </row>
    <row r="46" spans="1:13" ht="12.75" x14ac:dyDescent="0.2">
      <c r="A46" s="739"/>
      <c r="B46" s="337" t="s">
        <v>475</v>
      </c>
      <c r="C46" s="337" t="s">
        <v>84</v>
      </c>
      <c r="D46" s="338"/>
      <c r="E46" s="354">
        <f t="shared" si="7"/>
        <v>13097.700000000003</v>
      </c>
      <c r="F46" s="355">
        <f t="shared" si="8"/>
        <v>10291.050000000003</v>
      </c>
      <c r="G46" s="355">
        <f t="shared" si="9"/>
        <v>9823.2750000000015</v>
      </c>
      <c r="H46" s="355">
        <f t="shared" si="10"/>
        <v>9355.5000000000018</v>
      </c>
      <c r="I46" s="356">
        <f t="shared" si="12"/>
        <v>9355.5000000000018</v>
      </c>
      <c r="J46" s="341"/>
      <c r="K46" s="359">
        <f t="shared" si="11"/>
        <v>7928.3898305084767</v>
      </c>
      <c r="M46">
        <v>6930.0000000000009</v>
      </c>
    </row>
    <row r="47" spans="1:13" ht="12.75" x14ac:dyDescent="0.2">
      <c r="A47" s="739"/>
      <c r="B47" s="337" t="s">
        <v>476</v>
      </c>
      <c r="C47" s="337" t="s">
        <v>305</v>
      </c>
      <c r="D47" s="338" t="s">
        <v>534</v>
      </c>
      <c r="E47" s="354">
        <f t="shared" si="7"/>
        <v>9862.86</v>
      </c>
      <c r="F47" s="355">
        <f t="shared" si="8"/>
        <v>7749.3900000000012</v>
      </c>
      <c r="G47" s="355">
        <f t="shared" si="9"/>
        <v>7397.1450000000004</v>
      </c>
      <c r="H47" s="355">
        <f t="shared" si="10"/>
        <v>7044.9000000000005</v>
      </c>
      <c r="I47" s="356">
        <f t="shared" si="12"/>
        <v>5958.9000000000005</v>
      </c>
      <c r="J47" s="341">
        <v>1086</v>
      </c>
      <c r="K47" s="359">
        <f t="shared" si="11"/>
        <v>5970.2542372881362</v>
      </c>
      <c r="M47">
        <v>4414</v>
      </c>
    </row>
    <row r="48" spans="1:13" ht="12.75" x14ac:dyDescent="0.2">
      <c r="A48" s="742"/>
      <c r="B48" s="337" t="s">
        <v>477</v>
      </c>
      <c r="C48" s="337" t="s">
        <v>449</v>
      </c>
      <c r="D48" s="338" t="s">
        <v>450</v>
      </c>
      <c r="E48" s="354">
        <f t="shared" si="7"/>
        <v>18784.5</v>
      </c>
      <c r="F48" s="355">
        <f t="shared" si="8"/>
        <v>14759.250000000002</v>
      </c>
      <c r="G48" s="355">
        <f t="shared" si="9"/>
        <v>14088.375</v>
      </c>
      <c r="H48" s="355">
        <f t="shared" si="10"/>
        <v>13417.5</v>
      </c>
      <c r="I48" s="356">
        <f t="shared" si="12"/>
        <v>11029.5</v>
      </c>
      <c r="J48" s="341">
        <v>2388</v>
      </c>
      <c r="K48" s="359">
        <f t="shared" si="11"/>
        <v>11370.762711864407</v>
      </c>
      <c r="M48">
        <v>8170</v>
      </c>
    </row>
    <row r="49" spans="1:13" ht="12.75" x14ac:dyDescent="0.2">
      <c r="A49" s="741" t="s">
        <v>134</v>
      </c>
      <c r="B49" s="337" t="s">
        <v>42</v>
      </c>
      <c r="C49" s="337" t="s">
        <v>61</v>
      </c>
      <c r="D49" s="338"/>
      <c r="E49" s="354">
        <f t="shared" si="7"/>
        <v>4035.1499999999996</v>
      </c>
      <c r="F49" s="355">
        <f t="shared" si="8"/>
        <v>3170.4750000000004</v>
      </c>
      <c r="G49" s="355">
        <f t="shared" si="9"/>
        <v>3026.3625000000002</v>
      </c>
      <c r="H49" s="355">
        <f t="shared" si="10"/>
        <v>2882.25</v>
      </c>
      <c r="I49" s="356">
        <f t="shared" si="12"/>
        <v>2882.25</v>
      </c>
      <c r="J49" s="341"/>
      <c r="K49" s="359">
        <f t="shared" si="11"/>
        <v>2442.5847457627119</v>
      </c>
      <c r="M49">
        <v>2135</v>
      </c>
    </row>
    <row r="50" spans="1:13" ht="12.75" x14ac:dyDescent="0.2">
      <c r="A50" s="739"/>
      <c r="B50" s="337" t="s">
        <v>393</v>
      </c>
      <c r="C50" s="337" t="s">
        <v>80</v>
      </c>
      <c r="D50" s="338"/>
      <c r="E50" s="354">
        <f t="shared" si="7"/>
        <v>12757.5</v>
      </c>
      <c r="F50" s="355">
        <f t="shared" si="8"/>
        <v>10023.75</v>
      </c>
      <c r="G50" s="355">
        <f t="shared" si="9"/>
        <v>9568.125</v>
      </c>
      <c r="H50" s="355">
        <f t="shared" si="10"/>
        <v>9112.5</v>
      </c>
      <c r="I50" s="356">
        <f t="shared" si="12"/>
        <v>9112.5</v>
      </c>
      <c r="J50" s="341"/>
      <c r="K50" s="359">
        <f t="shared" si="11"/>
        <v>7722.4576271186443</v>
      </c>
      <c r="M50">
        <v>6750</v>
      </c>
    </row>
    <row r="51" spans="1:13" ht="12.75" x14ac:dyDescent="0.2">
      <c r="A51" s="742"/>
      <c r="B51" s="337" t="s">
        <v>341</v>
      </c>
      <c r="C51" s="337" t="s">
        <v>93</v>
      </c>
      <c r="D51" s="338" t="s">
        <v>280</v>
      </c>
      <c r="E51" s="354">
        <f t="shared" si="7"/>
        <v>16136.68</v>
      </c>
      <c r="F51" s="355">
        <f t="shared" si="8"/>
        <v>12678.820000000002</v>
      </c>
      <c r="G51" s="355">
        <f t="shared" si="9"/>
        <v>12102.510000000002</v>
      </c>
      <c r="H51" s="355">
        <f t="shared" si="10"/>
        <v>11526.2</v>
      </c>
      <c r="I51" s="356">
        <f t="shared" si="12"/>
        <v>9628.2000000000007</v>
      </c>
      <c r="J51" s="341">
        <v>1898</v>
      </c>
      <c r="K51" s="359">
        <f t="shared" si="11"/>
        <v>9767.9661016949158</v>
      </c>
      <c r="M51">
        <v>7132</v>
      </c>
    </row>
    <row r="52" spans="1:13" ht="12.75" hidden="1" x14ac:dyDescent="0.2">
      <c r="A52" s="741" t="s">
        <v>137</v>
      </c>
      <c r="B52" s="337" t="s">
        <v>177</v>
      </c>
      <c r="C52" s="337" t="s">
        <v>1</v>
      </c>
      <c r="D52" s="338"/>
      <c r="E52" s="354">
        <f t="shared" si="7"/>
        <v>5389.9999999999991</v>
      </c>
      <c r="F52" s="355">
        <f t="shared" si="8"/>
        <v>4235</v>
      </c>
      <c r="G52" s="355">
        <f t="shared" si="9"/>
        <v>4042.4999999999995</v>
      </c>
      <c r="H52" s="355">
        <f t="shared" si="10"/>
        <v>3849.9999999999995</v>
      </c>
      <c r="I52" s="356">
        <f>M52*1.4</f>
        <v>3849.9999999999995</v>
      </c>
      <c r="J52" s="341"/>
      <c r="K52" s="359">
        <f t="shared" si="11"/>
        <v>3262.7118644067796</v>
      </c>
      <c r="M52">
        <v>2750</v>
      </c>
    </row>
    <row r="53" spans="1:13" ht="12.75" hidden="1" x14ac:dyDescent="0.2">
      <c r="A53" s="739"/>
      <c r="B53" s="337" t="s">
        <v>171</v>
      </c>
      <c r="C53" s="337" t="s">
        <v>1</v>
      </c>
      <c r="D53" s="338"/>
      <c r="E53" s="354">
        <f t="shared" si="7"/>
        <v>6468</v>
      </c>
      <c r="F53" s="355">
        <f t="shared" si="8"/>
        <v>5082</v>
      </c>
      <c r="G53" s="355">
        <f t="shared" si="9"/>
        <v>4851</v>
      </c>
      <c r="H53" s="355">
        <f t="shared" si="10"/>
        <v>4620</v>
      </c>
      <c r="I53" s="356">
        <f t="shared" ref="I53:I73" si="13">M53*1.4</f>
        <v>4620</v>
      </c>
      <c r="J53" s="341"/>
      <c r="K53" s="359">
        <f t="shared" si="11"/>
        <v>3915.2542372881358</v>
      </c>
      <c r="M53">
        <v>3300</v>
      </c>
    </row>
    <row r="54" spans="1:13" ht="12.75" x14ac:dyDescent="0.2">
      <c r="A54" s="739"/>
      <c r="B54" s="337" t="s">
        <v>175</v>
      </c>
      <c r="C54" s="337" t="s">
        <v>2</v>
      </c>
      <c r="D54" s="338"/>
      <c r="E54" s="354">
        <f t="shared" si="7"/>
        <v>6144.5999999999995</v>
      </c>
      <c r="F54" s="355">
        <f t="shared" si="8"/>
        <v>4827.9000000000005</v>
      </c>
      <c r="G54" s="355">
        <f t="shared" si="9"/>
        <v>4608.45</v>
      </c>
      <c r="H54" s="355">
        <f t="shared" si="10"/>
        <v>4389</v>
      </c>
      <c r="I54" s="356">
        <f t="shared" si="13"/>
        <v>4389</v>
      </c>
      <c r="J54" s="341"/>
      <c r="K54" s="359">
        <f t="shared" si="11"/>
        <v>3719.4915254237289</v>
      </c>
      <c r="M54">
        <v>3135.0000000000005</v>
      </c>
    </row>
    <row r="55" spans="1:13" ht="12.75" hidden="1" x14ac:dyDescent="0.2">
      <c r="A55" s="739"/>
      <c r="B55" s="337" t="s">
        <v>172</v>
      </c>
      <c r="C55" s="337" t="s">
        <v>2</v>
      </c>
      <c r="D55" s="338"/>
      <c r="E55" s="354">
        <f t="shared" si="7"/>
        <v>7408.7999999999993</v>
      </c>
      <c r="F55" s="355">
        <f t="shared" si="8"/>
        <v>5821.2000000000007</v>
      </c>
      <c r="G55" s="355">
        <f t="shared" si="9"/>
        <v>5556.6</v>
      </c>
      <c r="H55" s="355">
        <f t="shared" si="10"/>
        <v>5292</v>
      </c>
      <c r="I55" s="356">
        <f t="shared" si="13"/>
        <v>5292</v>
      </c>
      <c r="J55" s="341"/>
      <c r="K55" s="359">
        <f t="shared" si="11"/>
        <v>4484.7457627118647</v>
      </c>
      <c r="M55">
        <v>3780</v>
      </c>
    </row>
    <row r="56" spans="1:13" ht="12.75" x14ac:dyDescent="0.2">
      <c r="A56" s="739"/>
      <c r="B56" s="337" t="s">
        <v>176</v>
      </c>
      <c r="C56" s="337" t="s">
        <v>3</v>
      </c>
      <c r="D56" s="338"/>
      <c r="E56" s="354">
        <f t="shared" si="7"/>
        <v>7222.5999999999995</v>
      </c>
      <c r="F56" s="355">
        <f t="shared" si="8"/>
        <v>5674.9000000000005</v>
      </c>
      <c r="G56" s="355">
        <f t="shared" si="9"/>
        <v>5416.95</v>
      </c>
      <c r="H56" s="355">
        <f t="shared" si="10"/>
        <v>5159</v>
      </c>
      <c r="I56" s="356">
        <f t="shared" si="13"/>
        <v>5159</v>
      </c>
      <c r="J56" s="341"/>
      <c r="K56" s="359">
        <f t="shared" si="11"/>
        <v>4372.0338983050851</v>
      </c>
      <c r="M56">
        <v>3685.0000000000005</v>
      </c>
    </row>
    <row r="57" spans="1:13" ht="12.75" hidden="1" x14ac:dyDescent="0.2">
      <c r="A57" s="739"/>
      <c r="B57" s="337" t="s">
        <v>173</v>
      </c>
      <c r="C57" s="337" t="s">
        <v>3</v>
      </c>
      <c r="D57" s="338"/>
      <c r="E57" s="354">
        <f t="shared" si="7"/>
        <v>8692.5999999999985</v>
      </c>
      <c r="F57" s="355">
        <f t="shared" si="8"/>
        <v>6829.9000000000005</v>
      </c>
      <c r="G57" s="355">
        <f t="shared" si="9"/>
        <v>6519.4500000000007</v>
      </c>
      <c r="H57" s="355">
        <f t="shared" si="10"/>
        <v>6209</v>
      </c>
      <c r="I57" s="356">
        <f t="shared" si="13"/>
        <v>6209</v>
      </c>
      <c r="J57" s="341"/>
      <c r="K57" s="359">
        <f t="shared" si="11"/>
        <v>5261.8644067796613</v>
      </c>
      <c r="M57">
        <v>4435</v>
      </c>
    </row>
    <row r="58" spans="1:13" ht="12.75" x14ac:dyDescent="0.2">
      <c r="A58" s="739"/>
      <c r="B58" s="337" t="s">
        <v>168</v>
      </c>
      <c r="C58" s="337" t="s">
        <v>4</v>
      </c>
      <c r="D58" s="338"/>
      <c r="E58" s="354">
        <f t="shared" si="7"/>
        <v>9917.5999999999985</v>
      </c>
      <c r="F58" s="355">
        <f t="shared" si="8"/>
        <v>7792.4000000000005</v>
      </c>
      <c r="G58" s="355">
        <f t="shared" si="9"/>
        <v>7438.2000000000007</v>
      </c>
      <c r="H58" s="355">
        <f t="shared" si="10"/>
        <v>7084</v>
      </c>
      <c r="I58" s="356">
        <f t="shared" si="13"/>
        <v>7084</v>
      </c>
      <c r="J58" s="341"/>
      <c r="K58" s="359">
        <f t="shared" si="11"/>
        <v>6003.3898305084749</v>
      </c>
      <c r="M58">
        <v>5060</v>
      </c>
    </row>
    <row r="59" spans="1:13" ht="12.75" hidden="1" x14ac:dyDescent="0.2">
      <c r="A59" s="739"/>
      <c r="B59" s="337" t="s">
        <v>169</v>
      </c>
      <c r="C59" s="337" t="s">
        <v>4</v>
      </c>
      <c r="D59" s="338"/>
      <c r="E59" s="354">
        <f t="shared" si="7"/>
        <v>11926.599999999999</v>
      </c>
      <c r="F59" s="355">
        <f t="shared" si="8"/>
        <v>9370.9000000000015</v>
      </c>
      <c r="G59" s="355">
        <f t="shared" si="9"/>
        <v>8944.9500000000007</v>
      </c>
      <c r="H59" s="355">
        <f t="shared" si="10"/>
        <v>8519</v>
      </c>
      <c r="I59" s="356">
        <f t="shared" si="13"/>
        <v>8519</v>
      </c>
      <c r="J59" s="341"/>
      <c r="K59" s="359">
        <f t="shared" si="11"/>
        <v>7219.4915254237294</v>
      </c>
      <c r="M59">
        <v>6085</v>
      </c>
    </row>
    <row r="60" spans="1:13" ht="12.75" x14ac:dyDescent="0.2">
      <c r="A60" s="739"/>
      <c r="B60" s="337" t="s">
        <v>174</v>
      </c>
      <c r="C60" s="337" t="s">
        <v>5</v>
      </c>
      <c r="D60" s="338"/>
      <c r="E60" s="354">
        <f t="shared" si="7"/>
        <v>10779.999999999998</v>
      </c>
      <c r="F60" s="355">
        <f t="shared" si="8"/>
        <v>8470</v>
      </c>
      <c r="G60" s="355">
        <f t="shared" si="9"/>
        <v>8084.9999999999991</v>
      </c>
      <c r="H60" s="355">
        <f t="shared" si="10"/>
        <v>7699.9999999999991</v>
      </c>
      <c r="I60" s="356">
        <f t="shared" si="13"/>
        <v>7699.9999999999991</v>
      </c>
      <c r="J60" s="341"/>
      <c r="K60" s="359">
        <f t="shared" si="11"/>
        <v>6525.4237288135591</v>
      </c>
      <c r="M60">
        <v>5500</v>
      </c>
    </row>
    <row r="61" spans="1:13" ht="12.75" hidden="1" x14ac:dyDescent="0.2">
      <c r="A61" s="739"/>
      <c r="B61" s="337" t="s">
        <v>170</v>
      </c>
      <c r="C61" s="337" t="s">
        <v>5</v>
      </c>
      <c r="D61" s="338"/>
      <c r="E61" s="354">
        <f t="shared" si="7"/>
        <v>12965.4</v>
      </c>
      <c r="F61" s="355">
        <f t="shared" si="8"/>
        <v>10187.1</v>
      </c>
      <c r="G61" s="355">
        <f t="shared" si="9"/>
        <v>9724.0500000000011</v>
      </c>
      <c r="H61" s="355">
        <f t="shared" si="10"/>
        <v>9261</v>
      </c>
      <c r="I61" s="356">
        <f t="shared" si="13"/>
        <v>9261</v>
      </c>
      <c r="J61" s="341"/>
      <c r="K61" s="359">
        <f t="shared" si="11"/>
        <v>7848.3050847457635</v>
      </c>
      <c r="M61">
        <v>6615</v>
      </c>
    </row>
    <row r="62" spans="1:13" ht="12.75" x14ac:dyDescent="0.2">
      <c r="A62" s="739"/>
      <c r="B62" s="337" t="s">
        <v>373</v>
      </c>
      <c r="C62" s="337" t="s">
        <v>75</v>
      </c>
      <c r="D62" s="338"/>
      <c r="E62" s="354">
        <f t="shared" si="7"/>
        <v>16169.999999999998</v>
      </c>
      <c r="F62" s="355">
        <f t="shared" si="8"/>
        <v>12705.000000000002</v>
      </c>
      <c r="G62" s="355">
        <f t="shared" si="9"/>
        <v>12127.5</v>
      </c>
      <c r="H62" s="355">
        <f t="shared" si="10"/>
        <v>11550</v>
      </c>
      <c r="I62" s="356">
        <f t="shared" si="13"/>
        <v>11550</v>
      </c>
      <c r="J62" s="341"/>
      <c r="K62" s="359">
        <f t="shared" si="11"/>
        <v>9788.1355932203387</v>
      </c>
      <c r="M62">
        <v>8250</v>
      </c>
    </row>
    <row r="63" spans="1:13" ht="12.75" hidden="1" x14ac:dyDescent="0.2">
      <c r="A63" s="739"/>
      <c r="B63" s="337" t="s">
        <v>374</v>
      </c>
      <c r="C63" s="337" t="s">
        <v>75</v>
      </c>
      <c r="D63" s="338"/>
      <c r="E63" s="354">
        <f t="shared" ref="E63:E94" si="14">H63*1.4</f>
        <v>18141.759999999998</v>
      </c>
      <c r="F63" s="355">
        <f t="shared" ref="F63:F94" si="15">H63*1.1</f>
        <v>14254.240000000002</v>
      </c>
      <c r="G63" s="355">
        <f t="shared" ref="G63:G94" si="16">H63*1.05</f>
        <v>13606.32</v>
      </c>
      <c r="H63" s="355">
        <f t="shared" ref="H63:H94" si="17">I63+J63</f>
        <v>12958.4</v>
      </c>
      <c r="I63" s="356">
        <f t="shared" si="13"/>
        <v>12958.4</v>
      </c>
      <c r="J63" s="341"/>
      <c r="K63" s="359">
        <f t="shared" ref="K63:K94" si="18">H63/1.18</f>
        <v>10981.694915254238</v>
      </c>
      <c r="M63">
        <v>9256</v>
      </c>
    </row>
    <row r="64" spans="1:13" ht="12.75" hidden="1" x14ac:dyDescent="0.2">
      <c r="A64" s="739"/>
      <c r="B64" s="337" t="s">
        <v>227</v>
      </c>
      <c r="C64" s="337" t="s">
        <v>89</v>
      </c>
      <c r="D64" s="338" t="s">
        <v>285</v>
      </c>
      <c r="E64" s="354">
        <f t="shared" si="14"/>
        <v>10213</v>
      </c>
      <c r="F64" s="355">
        <f t="shared" si="15"/>
        <v>8024.5000000000009</v>
      </c>
      <c r="G64" s="355">
        <f t="shared" si="16"/>
        <v>7659.75</v>
      </c>
      <c r="H64" s="355">
        <f t="shared" si="17"/>
        <v>7295</v>
      </c>
      <c r="I64" s="356">
        <f t="shared" si="13"/>
        <v>6090</v>
      </c>
      <c r="J64" s="341">
        <v>1205</v>
      </c>
      <c r="K64" s="359">
        <f t="shared" si="18"/>
        <v>6182.203389830509</v>
      </c>
      <c r="M64">
        <v>4350</v>
      </c>
    </row>
    <row r="65" spans="1:13" ht="12.75" hidden="1" x14ac:dyDescent="0.2">
      <c r="A65" s="739"/>
      <c r="B65" s="337" t="s">
        <v>232</v>
      </c>
      <c r="C65" s="337" t="s">
        <v>89</v>
      </c>
      <c r="D65" s="338" t="s">
        <v>285</v>
      </c>
      <c r="E65" s="354">
        <f t="shared" si="14"/>
        <v>12398.4</v>
      </c>
      <c r="F65" s="355">
        <f t="shared" si="15"/>
        <v>9741.6</v>
      </c>
      <c r="G65" s="355">
        <f t="shared" si="16"/>
        <v>9298.8000000000011</v>
      </c>
      <c r="H65" s="355">
        <f t="shared" si="17"/>
        <v>8856</v>
      </c>
      <c r="I65" s="356">
        <f t="shared" si="13"/>
        <v>7650.9999999999991</v>
      </c>
      <c r="J65" s="341">
        <v>1205</v>
      </c>
      <c r="K65" s="359">
        <f t="shared" si="18"/>
        <v>7505.0847457627124</v>
      </c>
      <c r="M65">
        <v>5465</v>
      </c>
    </row>
    <row r="66" spans="1:13" ht="25.5" x14ac:dyDescent="0.2">
      <c r="A66" s="739"/>
      <c r="B66" s="337" t="s">
        <v>228</v>
      </c>
      <c r="C66" s="337" t="s">
        <v>90</v>
      </c>
      <c r="D66" s="338" t="s">
        <v>286</v>
      </c>
      <c r="E66" s="354">
        <f t="shared" si="14"/>
        <v>10822</v>
      </c>
      <c r="F66" s="355">
        <f t="shared" si="15"/>
        <v>8503</v>
      </c>
      <c r="G66" s="355">
        <f t="shared" si="16"/>
        <v>8116.5</v>
      </c>
      <c r="H66" s="355">
        <f t="shared" si="17"/>
        <v>7730</v>
      </c>
      <c r="I66" s="356">
        <f t="shared" si="13"/>
        <v>6440</v>
      </c>
      <c r="J66" s="341">
        <v>1290</v>
      </c>
      <c r="K66" s="359">
        <f t="shared" si="18"/>
        <v>6550.8474576271192</v>
      </c>
      <c r="M66">
        <v>4600</v>
      </c>
    </row>
    <row r="67" spans="1:13" ht="25.5" hidden="1" x14ac:dyDescent="0.2">
      <c r="A67" s="739"/>
      <c r="B67" s="337" t="s">
        <v>233</v>
      </c>
      <c r="C67" s="337" t="s">
        <v>90</v>
      </c>
      <c r="D67" s="338" t="s">
        <v>286</v>
      </c>
      <c r="E67" s="354">
        <f t="shared" si="14"/>
        <v>13134.8</v>
      </c>
      <c r="F67" s="355">
        <f t="shared" si="15"/>
        <v>10320.200000000001</v>
      </c>
      <c r="G67" s="355">
        <f t="shared" si="16"/>
        <v>9851.1</v>
      </c>
      <c r="H67" s="355">
        <f t="shared" si="17"/>
        <v>9382</v>
      </c>
      <c r="I67" s="356">
        <f t="shared" si="13"/>
        <v>8091.9999999999991</v>
      </c>
      <c r="J67" s="341">
        <v>1290</v>
      </c>
      <c r="K67" s="359">
        <f t="shared" si="18"/>
        <v>7950.8474576271192</v>
      </c>
      <c r="M67">
        <v>5780</v>
      </c>
    </row>
    <row r="68" spans="1:13" ht="25.5" x14ac:dyDescent="0.2">
      <c r="A68" s="739"/>
      <c r="B68" s="337" t="s">
        <v>229</v>
      </c>
      <c r="C68" s="337" t="s">
        <v>91</v>
      </c>
      <c r="D68" s="338" t="s">
        <v>287</v>
      </c>
      <c r="E68" s="354">
        <f t="shared" si="14"/>
        <v>14289.8</v>
      </c>
      <c r="F68" s="355">
        <f t="shared" si="15"/>
        <v>11227.7</v>
      </c>
      <c r="G68" s="355">
        <f t="shared" si="16"/>
        <v>10717.35</v>
      </c>
      <c r="H68" s="355">
        <f t="shared" si="17"/>
        <v>10207</v>
      </c>
      <c r="I68" s="356">
        <f t="shared" si="13"/>
        <v>7818.9999999999991</v>
      </c>
      <c r="J68" s="341">
        <v>2388</v>
      </c>
      <c r="K68" s="359">
        <f t="shared" si="18"/>
        <v>8650</v>
      </c>
      <c r="M68">
        <v>5585</v>
      </c>
    </row>
    <row r="69" spans="1:13" ht="25.5" hidden="1" x14ac:dyDescent="0.2">
      <c r="A69" s="739"/>
      <c r="B69" s="337" t="s">
        <v>234</v>
      </c>
      <c r="C69" s="337" t="s">
        <v>91</v>
      </c>
      <c r="D69" s="338" t="s">
        <v>287</v>
      </c>
      <c r="E69" s="354">
        <f t="shared" si="14"/>
        <v>17416</v>
      </c>
      <c r="F69" s="355">
        <f t="shared" si="15"/>
        <v>13684.000000000002</v>
      </c>
      <c r="G69" s="355">
        <f t="shared" si="16"/>
        <v>13062</v>
      </c>
      <c r="H69" s="355">
        <f t="shared" si="17"/>
        <v>12440</v>
      </c>
      <c r="I69" s="356">
        <f t="shared" si="13"/>
        <v>10052</v>
      </c>
      <c r="J69" s="341">
        <v>2388</v>
      </c>
      <c r="K69" s="359">
        <f t="shared" si="18"/>
        <v>10542.372881355932</v>
      </c>
      <c r="M69">
        <v>7180</v>
      </c>
    </row>
    <row r="70" spans="1:13" ht="25.5" x14ac:dyDescent="0.2">
      <c r="A70" s="739"/>
      <c r="B70" s="337" t="s">
        <v>225</v>
      </c>
      <c r="C70" s="337" t="s">
        <v>87</v>
      </c>
      <c r="D70" s="338" t="s">
        <v>288</v>
      </c>
      <c r="E70" s="354">
        <f t="shared" si="14"/>
        <v>17702.16</v>
      </c>
      <c r="F70" s="355">
        <f t="shared" si="15"/>
        <v>13908.84</v>
      </c>
      <c r="G70" s="355">
        <f t="shared" si="16"/>
        <v>13276.62</v>
      </c>
      <c r="H70" s="355">
        <f t="shared" si="17"/>
        <v>12644.4</v>
      </c>
      <c r="I70" s="356">
        <f t="shared" si="13"/>
        <v>9948.4</v>
      </c>
      <c r="J70" s="341">
        <v>2696</v>
      </c>
      <c r="K70" s="359">
        <f t="shared" si="18"/>
        <v>10715.593220338984</v>
      </c>
      <c r="M70">
        <v>7106</v>
      </c>
    </row>
    <row r="71" spans="1:13" ht="25.5" hidden="1" x14ac:dyDescent="0.2">
      <c r="A71" s="739"/>
      <c r="B71" s="337" t="s">
        <v>230</v>
      </c>
      <c r="C71" s="337" t="s">
        <v>87</v>
      </c>
      <c r="D71" s="338" t="s">
        <v>288</v>
      </c>
      <c r="E71" s="354">
        <f t="shared" si="14"/>
        <v>21539.839999999997</v>
      </c>
      <c r="F71" s="355">
        <f t="shared" si="15"/>
        <v>16924.16</v>
      </c>
      <c r="G71" s="355">
        <f t="shared" si="16"/>
        <v>16154.88</v>
      </c>
      <c r="H71" s="355">
        <f t="shared" si="17"/>
        <v>15385.599999999999</v>
      </c>
      <c r="I71" s="356">
        <f t="shared" si="13"/>
        <v>12689.599999999999</v>
      </c>
      <c r="J71" s="341">
        <v>2696</v>
      </c>
      <c r="K71" s="359">
        <f t="shared" si="18"/>
        <v>13038.644067796609</v>
      </c>
      <c r="M71">
        <v>9064</v>
      </c>
    </row>
    <row r="72" spans="1:13" ht="12.75" x14ac:dyDescent="0.2">
      <c r="A72" s="739"/>
      <c r="B72" s="337" t="s">
        <v>226</v>
      </c>
      <c r="C72" s="337" t="s">
        <v>88</v>
      </c>
      <c r="D72" s="338" t="s">
        <v>289</v>
      </c>
      <c r="E72" s="354">
        <f t="shared" si="14"/>
        <v>26813.416000000001</v>
      </c>
      <c r="F72" s="355">
        <f t="shared" si="15"/>
        <v>21067.684000000005</v>
      </c>
      <c r="G72" s="355">
        <f t="shared" si="16"/>
        <v>20110.062000000002</v>
      </c>
      <c r="H72" s="355">
        <f t="shared" si="17"/>
        <v>19152.440000000002</v>
      </c>
      <c r="I72" s="356">
        <f t="shared" si="13"/>
        <v>11307.800000000001</v>
      </c>
      <c r="J72" s="341">
        <v>7844.64</v>
      </c>
      <c r="K72" s="359">
        <f t="shared" si="18"/>
        <v>16230.881355932206</v>
      </c>
      <c r="M72">
        <v>8077.0000000000018</v>
      </c>
    </row>
    <row r="73" spans="1:13" ht="12.75" hidden="1" x14ac:dyDescent="0.2">
      <c r="A73" s="742"/>
      <c r="B73" s="337" t="s">
        <v>231</v>
      </c>
      <c r="C73" s="337" t="s">
        <v>88</v>
      </c>
      <c r="D73" s="338" t="s">
        <v>289</v>
      </c>
      <c r="E73" s="354">
        <f t="shared" si="14"/>
        <v>32918.815999999999</v>
      </c>
      <c r="F73" s="355">
        <f t="shared" si="15"/>
        <v>25864.784</v>
      </c>
      <c r="G73" s="355">
        <f t="shared" si="16"/>
        <v>24689.112000000001</v>
      </c>
      <c r="H73" s="355">
        <f t="shared" si="17"/>
        <v>23513.439999999999</v>
      </c>
      <c r="I73" s="356">
        <f t="shared" si="13"/>
        <v>15668.8</v>
      </c>
      <c r="J73" s="341">
        <v>7844.64</v>
      </c>
      <c r="K73" s="359">
        <f t="shared" si="18"/>
        <v>19926.644067796609</v>
      </c>
      <c r="M73">
        <v>11192</v>
      </c>
    </row>
    <row r="74" spans="1:13" ht="12.75" x14ac:dyDescent="0.2">
      <c r="A74" s="741" t="s">
        <v>138</v>
      </c>
      <c r="B74" s="337" t="s">
        <v>406</v>
      </c>
      <c r="C74" s="337" t="s">
        <v>10</v>
      </c>
      <c r="D74" s="338"/>
      <c r="E74" s="354">
        <f t="shared" si="14"/>
        <v>4261.95</v>
      </c>
      <c r="F74" s="355">
        <f t="shared" si="15"/>
        <v>3348.6750000000002</v>
      </c>
      <c r="G74" s="355">
        <f t="shared" si="16"/>
        <v>3196.4625000000001</v>
      </c>
      <c r="H74" s="355">
        <f t="shared" si="17"/>
        <v>3044.25</v>
      </c>
      <c r="I74" s="356">
        <f t="shared" ref="I74:I105" si="19">M74*1.35</f>
        <v>3044.25</v>
      </c>
      <c r="J74" s="341"/>
      <c r="K74" s="359">
        <f t="shared" si="18"/>
        <v>2579.8728813559323</v>
      </c>
      <c r="M74">
        <v>2255</v>
      </c>
    </row>
    <row r="75" spans="1:13" ht="12.75" x14ac:dyDescent="0.2">
      <c r="A75" s="739"/>
      <c r="B75" s="337" t="s">
        <v>407</v>
      </c>
      <c r="C75" s="337" t="s">
        <v>11</v>
      </c>
      <c r="D75" s="338"/>
      <c r="E75" s="354">
        <f t="shared" si="14"/>
        <v>4573.7999999999993</v>
      </c>
      <c r="F75" s="355">
        <f t="shared" si="15"/>
        <v>3593.7000000000003</v>
      </c>
      <c r="G75" s="355">
        <f t="shared" si="16"/>
        <v>3430.3500000000004</v>
      </c>
      <c r="H75" s="355">
        <f t="shared" si="17"/>
        <v>3267</v>
      </c>
      <c r="I75" s="356">
        <f t="shared" si="19"/>
        <v>3267</v>
      </c>
      <c r="J75" s="341"/>
      <c r="K75" s="359">
        <f t="shared" si="18"/>
        <v>2768.6440677966102</v>
      </c>
      <c r="M75">
        <v>2420</v>
      </c>
    </row>
    <row r="76" spans="1:13" ht="12.75" x14ac:dyDescent="0.2">
      <c r="A76" s="739"/>
      <c r="B76" s="337" t="s">
        <v>28</v>
      </c>
      <c r="C76" s="337" t="s">
        <v>11</v>
      </c>
      <c r="D76" s="338"/>
      <c r="E76" s="354">
        <f t="shared" si="14"/>
        <v>6029.1000000000013</v>
      </c>
      <c r="F76" s="355">
        <f t="shared" si="15"/>
        <v>4737.1500000000015</v>
      </c>
      <c r="G76" s="355">
        <f t="shared" si="16"/>
        <v>4521.8250000000007</v>
      </c>
      <c r="H76" s="355">
        <f t="shared" si="17"/>
        <v>4306.5000000000009</v>
      </c>
      <c r="I76" s="356">
        <f t="shared" si="19"/>
        <v>4306.5000000000009</v>
      </c>
      <c r="J76" s="341"/>
      <c r="K76" s="359">
        <f t="shared" si="18"/>
        <v>3649.5762711864418</v>
      </c>
      <c r="M76">
        <v>3190.0000000000005</v>
      </c>
    </row>
    <row r="77" spans="1:13" ht="12.75" x14ac:dyDescent="0.2">
      <c r="A77" s="739"/>
      <c r="B77" s="337" t="s">
        <v>408</v>
      </c>
      <c r="C77" s="337" t="s">
        <v>83</v>
      </c>
      <c r="D77" s="338"/>
      <c r="E77" s="354">
        <f t="shared" si="14"/>
        <v>10706.850000000002</v>
      </c>
      <c r="F77" s="355">
        <f t="shared" si="15"/>
        <v>8412.5250000000033</v>
      </c>
      <c r="G77" s="355">
        <f t="shared" si="16"/>
        <v>8030.1375000000025</v>
      </c>
      <c r="H77" s="355">
        <f t="shared" si="17"/>
        <v>7647.7500000000018</v>
      </c>
      <c r="I77" s="356">
        <f t="shared" si="19"/>
        <v>7647.7500000000018</v>
      </c>
      <c r="J77" s="341"/>
      <c r="K77" s="359">
        <f t="shared" si="18"/>
        <v>6481.144067796612</v>
      </c>
      <c r="M77">
        <v>5665.0000000000009</v>
      </c>
    </row>
    <row r="78" spans="1:13" ht="12.75" x14ac:dyDescent="0.2">
      <c r="A78" s="739"/>
      <c r="B78" s="337" t="s">
        <v>32</v>
      </c>
      <c r="C78" s="337" t="s">
        <v>92</v>
      </c>
      <c r="D78" s="338" t="s">
        <v>281</v>
      </c>
      <c r="E78" s="354">
        <f t="shared" si="14"/>
        <v>10161.830000000002</v>
      </c>
      <c r="F78" s="355">
        <f t="shared" si="15"/>
        <v>7984.2950000000028</v>
      </c>
      <c r="G78" s="355">
        <f t="shared" si="16"/>
        <v>7621.3725000000022</v>
      </c>
      <c r="H78" s="355">
        <f t="shared" si="17"/>
        <v>7258.4500000000016</v>
      </c>
      <c r="I78" s="356">
        <f t="shared" si="19"/>
        <v>4275.4500000000016</v>
      </c>
      <c r="J78" s="341">
        <v>2983</v>
      </c>
      <c r="K78" s="359">
        <f t="shared" si="18"/>
        <v>6151.2288135593235</v>
      </c>
      <c r="M78">
        <v>3167.0000000000009</v>
      </c>
    </row>
    <row r="79" spans="1:13" ht="12.75" x14ac:dyDescent="0.2">
      <c r="A79" s="739"/>
      <c r="B79" s="337" t="s">
        <v>33</v>
      </c>
      <c r="C79" s="337" t="s">
        <v>97</v>
      </c>
      <c r="D79" s="338" t="s">
        <v>281</v>
      </c>
      <c r="E79" s="354">
        <f t="shared" si="14"/>
        <v>12240.83</v>
      </c>
      <c r="F79" s="355">
        <f t="shared" si="15"/>
        <v>9617.7950000000019</v>
      </c>
      <c r="G79" s="355">
        <f t="shared" si="16"/>
        <v>9180.6225000000013</v>
      </c>
      <c r="H79" s="355">
        <f t="shared" si="17"/>
        <v>8743.4500000000007</v>
      </c>
      <c r="I79" s="356">
        <f t="shared" si="19"/>
        <v>5760.4500000000016</v>
      </c>
      <c r="J79" s="341">
        <v>2983</v>
      </c>
      <c r="K79" s="359">
        <f t="shared" si="18"/>
        <v>7409.7033898305099</v>
      </c>
      <c r="M79">
        <v>4267.0000000000009</v>
      </c>
    </row>
    <row r="80" spans="1:13" ht="12.75" x14ac:dyDescent="0.2">
      <c r="A80" s="739"/>
      <c r="B80" s="337" t="s">
        <v>235</v>
      </c>
      <c r="C80" s="337" t="s">
        <v>94</v>
      </c>
      <c r="D80" s="338" t="s">
        <v>282</v>
      </c>
      <c r="E80" s="354">
        <f t="shared" si="14"/>
        <v>11164.300000000001</v>
      </c>
      <c r="F80" s="355">
        <f t="shared" si="15"/>
        <v>8771.9500000000025</v>
      </c>
      <c r="G80" s="355">
        <f t="shared" si="16"/>
        <v>8373.2250000000022</v>
      </c>
      <c r="H80" s="355">
        <f t="shared" si="17"/>
        <v>7974.5000000000018</v>
      </c>
      <c r="I80" s="356">
        <f t="shared" si="19"/>
        <v>4414.5000000000018</v>
      </c>
      <c r="J80" s="341">
        <v>3560</v>
      </c>
      <c r="K80" s="359">
        <f t="shared" si="18"/>
        <v>6758.0508474576291</v>
      </c>
      <c r="M80">
        <v>3270.0000000000009</v>
      </c>
    </row>
    <row r="81" spans="1:13" ht="12.75" x14ac:dyDescent="0.2">
      <c r="A81" s="739"/>
      <c r="B81" s="337" t="s">
        <v>236</v>
      </c>
      <c r="C81" s="337" t="s">
        <v>98</v>
      </c>
      <c r="D81" s="338" t="s">
        <v>282</v>
      </c>
      <c r="E81" s="354">
        <f t="shared" si="14"/>
        <v>12827.500000000002</v>
      </c>
      <c r="F81" s="355">
        <f t="shared" si="15"/>
        <v>10078.750000000004</v>
      </c>
      <c r="G81" s="355">
        <f t="shared" si="16"/>
        <v>9620.6250000000018</v>
      </c>
      <c r="H81" s="355">
        <f t="shared" si="17"/>
        <v>9162.5000000000018</v>
      </c>
      <c r="I81" s="356">
        <f t="shared" si="19"/>
        <v>5602.5000000000018</v>
      </c>
      <c r="J81" s="341">
        <v>3560</v>
      </c>
      <c r="K81" s="359">
        <f t="shared" si="18"/>
        <v>7764.830508474578</v>
      </c>
      <c r="M81">
        <v>4150.0000000000009</v>
      </c>
    </row>
    <row r="82" spans="1:13" ht="12.75" x14ac:dyDescent="0.2">
      <c r="A82" s="739"/>
      <c r="B82" s="337" t="s">
        <v>237</v>
      </c>
      <c r="C82" s="337" t="s">
        <v>95</v>
      </c>
      <c r="D82" s="338" t="s">
        <v>283</v>
      </c>
      <c r="E82" s="354">
        <f t="shared" si="14"/>
        <v>14104.93</v>
      </c>
      <c r="F82" s="355">
        <f t="shared" si="15"/>
        <v>11082.445000000002</v>
      </c>
      <c r="G82" s="355">
        <f t="shared" si="16"/>
        <v>10578.697500000002</v>
      </c>
      <c r="H82" s="355">
        <f t="shared" si="17"/>
        <v>10074.950000000001</v>
      </c>
      <c r="I82" s="356">
        <f t="shared" si="19"/>
        <v>5611.9500000000007</v>
      </c>
      <c r="J82" s="341">
        <v>4463</v>
      </c>
      <c r="K82" s="359">
        <f t="shared" si="18"/>
        <v>8538.0932203389839</v>
      </c>
      <c r="M82">
        <v>4157</v>
      </c>
    </row>
    <row r="83" spans="1:13" ht="12.75" x14ac:dyDescent="0.2">
      <c r="A83" s="742"/>
      <c r="B83" s="337" t="s">
        <v>238</v>
      </c>
      <c r="C83" s="337" t="s">
        <v>99</v>
      </c>
      <c r="D83" s="338" t="s">
        <v>283</v>
      </c>
      <c r="E83" s="354">
        <f t="shared" si="14"/>
        <v>15352.33</v>
      </c>
      <c r="F83" s="355">
        <f t="shared" si="15"/>
        <v>12062.545000000002</v>
      </c>
      <c r="G83" s="355">
        <f t="shared" si="16"/>
        <v>11514.247500000001</v>
      </c>
      <c r="H83" s="355">
        <f t="shared" si="17"/>
        <v>10965.95</v>
      </c>
      <c r="I83" s="356">
        <f t="shared" si="19"/>
        <v>6502.9500000000007</v>
      </c>
      <c r="J83" s="341">
        <v>4463</v>
      </c>
      <c r="K83" s="359">
        <f t="shared" si="18"/>
        <v>9293.1779661016953</v>
      </c>
      <c r="M83">
        <v>4817</v>
      </c>
    </row>
    <row r="84" spans="1:13" ht="12.75" x14ac:dyDescent="0.2">
      <c r="A84" s="741" t="s">
        <v>139</v>
      </c>
      <c r="B84" s="337" t="s">
        <v>478</v>
      </c>
      <c r="C84" s="337" t="s">
        <v>9</v>
      </c>
      <c r="D84" s="338"/>
      <c r="E84" s="354">
        <f t="shared" si="14"/>
        <v>4158</v>
      </c>
      <c r="F84" s="355">
        <f t="shared" si="15"/>
        <v>3267.0000000000005</v>
      </c>
      <c r="G84" s="355">
        <f t="shared" si="16"/>
        <v>3118.5</v>
      </c>
      <c r="H84" s="355">
        <f t="shared" si="17"/>
        <v>2970</v>
      </c>
      <c r="I84" s="356">
        <f t="shared" si="19"/>
        <v>2970</v>
      </c>
      <c r="J84" s="341"/>
      <c r="K84" s="359">
        <f t="shared" si="18"/>
        <v>2516.9491525423732</v>
      </c>
      <c r="M84">
        <v>2200</v>
      </c>
    </row>
    <row r="85" spans="1:13" ht="12.75" x14ac:dyDescent="0.2">
      <c r="A85" s="739"/>
      <c r="B85" s="337" t="s">
        <v>479</v>
      </c>
      <c r="C85" s="337" t="s">
        <v>0</v>
      </c>
      <c r="D85" s="338"/>
      <c r="E85" s="354">
        <f t="shared" si="14"/>
        <v>4573.7999999999993</v>
      </c>
      <c r="F85" s="355">
        <f t="shared" si="15"/>
        <v>3593.7000000000003</v>
      </c>
      <c r="G85" s="355">
        <f t="shared" si="16"/>
        <v>3430.3500000000004</v>
      </c>
      <c r="H85" s="355">
        <f t="shared" si="17"/>
        <v>3267</v>
      </c>
      <c r="I85" s="356">
        <f t="shared" si="19"/>
        <v>3267</v>
      </c>
      <c r="J85" s="341"/>
      <c r="K85" s="359">
        <f t="shared" si="18"/>
        <v>2768.6440677966102</v>
      </c>
      <c r="M85">
        <v>2420</v>
      </c>
    </row>
    <row r="86" spans="1:13" ht="12.75" x14ac:dyDescent="0.2">
      <c r="A86" s="739"/>
      <c r="B86" s="337" t="s">
        <v>480</v>
      </c>
      <c r="C86" s="337" t="s">
        <v>15</v>
      </c>
      <c r="D86" s="338"/>
      <c r="E86" s="354">
        <f t="shared" si="14"/>
        <v>5197.5</v>
      </c>
      <c r="F86" s="355">
        <f t="shared" si="15"/>
        <v>4083.7500000000009</v>
      </c>
      <c r="G86" s="355">
        <f t="shared" si="16"/>
        <v>3898.1250000000005</v>
      </c>
      <c r="H86" s="355">
        <f t="shared" si="17"/>
        <v>3712.5000000000005</v>
      </c>
      <c r="I86" s="356">
        <f t="shared" si="19"/>
        <v>3712.5000000000005</v>
      </c>
      <c r="J86" s="341"/>
      <c r="K86" s="359">
        <f t="shared" si="18"/>
        <v>3146.1864406779669</v>
      </c>
      <c r="M86">
        <v>2750</v>
      </c>
    </row>
    <row r="87" spans="1:13" ht="12.75" x14ac:dyDescent="0.2">
      <c r="A87" s="739"/>
      <c r="B87" s="337" t="s">
        <v>307</v>
      </c>
      <c r="C87" s="337" t="s">
        <v>14</v>
      </c>
      <c r="D87" s="338"/>
      <c r="E87" s="354">
        <f t="shared" si="14"/>
        <v>5821.2000000000007</v>
      </c>
      <c r="F87" s="355">
        <f t="shared" si="15"/>
        <v>4573.8000000000011</v>
      </c>
      <c r="G87" s="355">
        <f t="shared" si="16"/>
        <v>4365.9000000000015</v>
      </c>
      <c r="H87" s="355">
        <f t="shared" si="17"/>
        <v>4158.0000000000009</v>
      </c>
      <c r="I87" s="356">
        <f t="shared" si="19"/>
        <v>4158.0000000000009</v>
      </c>
      <c r="J87" s="341"/>
      <c r="K87" s="359">
        <f t="shared" si="18"/>
        <v>3523.728813559323</v>
      </c>
      <c r="M87">
        <v>3080.0000000000005</v>
      </c>
    </row>
    <row r="88" spans="1:13" ht="12.75" x14ac:dyDescent="0.2">
      <c r="A88" s="739"/>
      <c r="B88" s="337" t="s">
        <v>481</v>
      </c>
      <c r="C88" s="337" t="s">
        <v>14</v>
      </c>
      <c r="D88" s="338"/>
      <c r="E88" s="354">
        <f t="shared" si="14"/>
        <v>4989.6000000000004</v>
      </c>
      <c r="F88" s="355">
        <f t="shared" si="15"/>
        <v>3920.400000000001</v>
      </c>
      <c r="G88" s="355">
        <f t="shared" si="16"/>
        <v>3742.2000000000007</v>
      </c>
      <c r="H88" s="355">
        <f t="shared" si="17"/>
        <v>3564.0000000000005</v>
      </c>
      <c r="I88" s="356">
        <f t="shared" si="19"/>
        <v>3564.0000000000005</v>
      </c>
      <c r="J88" s="341"/>
      <c r="K88" s="359">
        <f t="shared" si="18"/>
        <v>3020.3389830508481</v>
      </c>
      <c r="M88">
        <v>2640</v>
      </c>
    </row>
    <row r="89" spans="1:13" ht="12.75" x14ac:dyDescent="0.2">
      <c r="A89" s="739"/>
      <c r="B89" s="337" t="s">
        <v>381</v>
      </c>
      <c r="C89" s="337" t="s">
        <v>76</v>
      </c>
      <c r="D89" s="338"/>
      <c r="E89" s="354">
        <f t="shared" si="14"/>
        <v>11226.600000000002</v>
      </c>
      <c r="F89" s="355">
        <f t="shared" si="15"/>
        <v>8820.9000000000033</v>
      </c>
      <c r="G89" s="355">
        <f t="shared" si="16"/>
        <v>8419.9500000000025</v>
      </c>
      <c r="H89" s="355">
        <f t="shared" si="17"/>
        <v>8019.0000000000018</v>
      </c>
      <c r="I89" s="356">
        <f t="shared" si="19"/>
        <v>8019.0000000000018</v>
      </c>
      <c r="J89" s="341"/>
      <c r="K89" s="359">
        <f t="shared" si="18"/>
        <v>6795.7627118644086</v>
      </c>
      <c r="M89">
        <v>5940.0000000000009</v>
      </c>
    </row>
    <row r="90" spans="1:13" ht="12.75" x14ac:dyDescent="0.2">
      <c r="A90" s="739"/>
      <c r="B90" s="337" t="s">
        <v>482</v>
      </c>
      <c r="C90" s="337" t="s">
        <v>76</v>
      </c>
      <c r="D90" s="338"/>
      <c r="E90" s="354">
        <f t="shared" si="14"/>
        <v>9521.82</v>
      </c>
      <c r="F90" s="355">
        <f t="shared" si="15"/>
        <v>7481.4300000000012</v>
      </c>
      <c r="G90" s="355">
        <f t="shared" si="16"/>
        <v>7141.3650000000007</v>
      </c>
      <c r="H90" s="355">
        <f t="shared" si="17"/>
        <v>6801.3</v>
      </c>
      <c r="I90" s="356">
        <f t="shared" si="19"/>
        <v>6801.3</v>
      </c>
      <c r="J90" s="341"/>
      <c r="K90" s="359">
        <f t="shared" si="18"/>
        <v>5763.8135593220341</v>
      </c>
      <c r="M90">
        <v>5038</v>
      </c>
    </row>
    <row r="91" spans="1:13" ht="12.75" x14ac:dyDescent="0.2">
      <c r="A91" s="739"/>
      <c r="B91" s="337" t="s">
        <v>239</v>
      </c>
      <c r="C91" s="337" t="s">
        <v>101</v>
      </c>
      <c r="D91" s="338" t="s">
        <v>281</v>
      </c>
      <c r="E91" s="354">
        <f t="shared" si="14"/>
        <v>10993.430000000002</v>
      </c>
      <c r="F91" s="355">
        <f t="shared" si="15"/>
        <v>8637.6950000000033</v>
      </c>
      <c r="G91" s="355">
        <f t="shared" si="16"/>
        <v>8245.072500000002</v>
      </c>
      <c r="H91" s="355">
        <f t="shared" si="17"/>
        <v>7852.4500000000016</v>
      </c>
      <c r="I91" s="356">
        <f t="shared" si="19"/>
        <v>4869.4500000000016</v>
      </c>
      <c r="J91" s="341">
        <v>2983</v>
      </c>
      <c r="K91" s="359">
        <f t="shared" si="18"/>
        <v>6654.6186440677984</v>
      </c>
      <c r="M91">
        <v>3607.0000000000009</v>
      </c>
    </row>
    <row r="92" spans="1:13" ht="12.75" x14ac:dyDescent="0.2">
      <c r="A92" s="739"/>
      <c r="B92" s="337" t="s">
        <v>483</v>
      </c>
      <c r="C92" s="337" t="s">
        <v>101</v>
      </c>
      <c r="D92" s="338" t="s">
        <v>281</v>
      </c>
      <c r="E92" s="354">
        <f t="shared" si="14"/>
        <v>10161.830000000002</v>
      </c>
      <c r="F92" s="355">
        <f t="shared" si="15"/>
        <v>7984.2950000000028</v>
      </c>
      <c r="G92" s="355">
        <f t="shared" si="16"/>
        <v>7621.3725000000022</v>
      </c>
      <c r="H92" s="355">
        <f t="shared" si="17"/>
        <v>7258.4500000000016</v>
      </c>
      <c r="I92" s="356">
        <f t="shared" si="19"/>
        <v>4275.4500000000016</v>
      </c>
      <c r="J92" s="341">
        <v>2983</v>
      </c>
      <c r="K92" s="359">
        <f t="shared" si="18"/>
        <v>6151.2288135593235</v>
      </c>
      <c r="M92">
        <v>3167.0000000000009</v>
      </c>
    </row>
    <row r="93" spans="1:13" ht="12.75" x14ac:dyDescent="0.2">
      <c r="A93" s="739"/>
      <c r="B93" s="337" t="s">
        <v>240</v>
      </c>
      <c r="C93" s="337" t="s">
        <v>102</v>
      </c>
      <c r="D93" s="338" t="s">
        <v>282</v>
      </c>
      <c r="E93" s="354">
        <f t="shared" si="14"/>
        <v>11684.050000000001</v>
      </c>
      <c r="F93" s="355">
        <f t="shared" si="15"/>
        <v>9180.3250000000025</v>
      </c>
      <c r="G93" s="355">
        <f t="shared" si="16"/>
        <v>8763.0375000000022</v>
      </c>
      <c r="H93" s="355">
        <f t="shared" si="17"/>
        <v>8345.7500000000018</v>
      </c>
      <c r="I93" s="356">
        <f t="shared" si="19"/>
        <v>4785.7500000000018</v>
      </c>
      <c r="J93" s="341">
        <v>3560</v>
      </c>
      <c r="K93" s="359">
        <f t="shared" si="18"/>
        <v>7072.6694915254257</v>
      </c>
      <c r="M93">
        <v>3545.0000000000009</v>
      </c>
    </row>
    <row r="94" spans="1:13" ht="12.75" x14ac:dyDescent="0.2">
      <c r="A94" s="739"/>
      <c r="B94" s="337" t="s">
        <v>484</v>
      </c>
      <c r="C94" s="337" t="s">
        <v>102</v>
      </c>
      <c r="D94" s="338" t="s">
        <v>282</v>
      </c>
      <c r="E94" s="354">
        <f t="shared" si="14"/>
        <v>10644.550000000001</v>
      </c>
      <c r="F94" s="355">
        <f t="shared" si="15"/>
        <v>8363.5750000000025</v>
      </c>
      <c r="G94" s="355">
        <f t="shared" si="16"/>
        <v>7983.4125000000022</v>
      </c>
      <c r="H94" s="355">
        <f t="shared" si="17"/>
        <v>7603.2500000000018</v>
      </c>
      <c r="I94" s="356">
        <f t="shared" si="19"/>
        <v>4043.2500000000014</v>
      </c>
      <c r="J94" s="341">
        <v>3560</v>
      </c>
      <c r="K94" s="359">
        <f t="shared" si="18"/>
        <v>6443.4322033898325</v>
      </c>
      <c r="M94">
        <v>2995.0000000000009</v>
      </c>
    </row>
    <row r="95" spans="1:13" ht="12.75" x14ac:dyDescent="0.2">
      <c r="A95" s="739"/>
      <c r="B95" s="337" t="s">
        <v>241</v>
      </c>
      <c r="C95" s="337" t="s">
        <v>103</v>
      </c>
      <c r="D95" s="338" t="s">
        <v>283</v>
      </c>
      <c r="E95" s="354">
        <f t="shared" ref="E95:E126" si="20">H95*1.4</f>
        <v>17847.13</v>
      </c>
      <c r="F95" s="355">
        <f t="shared" ref="F95:F126" si="21">H95*1.1</f>
        <v>14022.745000000003</v>
      </c>
      <c r="G95" s="355">
        <f t="shared" ref="G95:G126" si="22">H95*1.05</f>
        <v>13385.347500000002</v>
      </c>
      <c r="H95" s="355">
        <f t="shared" ref="H95:H126" si="23">I95+J95</f>
        <v>12747.95</v>
      </c>
      <c r="I95" s="356">
        <f t="shared" si="19"/>
        <v>8284.9500000000007</v>
      </c>
      <c r="J95" s="341">
        <v>4463</v>
      </c>
      <c r="K95" s="359">
        <f t="shared" ref="K95:K126" si="24">H95/1.18</f>
        <v>10803.34745762712</v>
      </c>
      <c r="M95">
        <v>6137</v>
      </c>
    </row>
    <row r="96" spans="1:13" ht="12.75" x14ac:dyDescent="0.2">
      <c r="A96" s="739"/>
      <c r="B96" s="337" t="s">
        <v>485</v>
      </c>
      <c r="C96" s="337" t="s">
        <v>103</v>
      </c>
      <c r="D96" s="338" t="s">
        <v>283</v>
      </c>
      <c r="E96" s="354">
        <f t="shared" si="20"/>
        <v>16391.830000000002</v>
      </c>
      <c r="F96" s="355">
        <f t="shared" si="21"/>
        <v>12879.295000000002</v>
      </c>
      <c r="G96" s="355">
        <f t="shared" si="22"/>
        <v>12293.872500000001</v>
      </c>
      <c r="H96" s="355">
        <f t="shared" si="23"/>
        <v>11708.45</v>
      </c>
      <c r="I96" s="356">
        <f t="shared" si="19"/>
        <v>7245.4500000000007</v>
      </c>
      <c r="J96" s="341">
        <v>4463</v>
      </c>
      <c r="K96" s="359">
        <f t="shared" si="24"/>
        <v>9922.4152542372885</v>
      </c>
      <c r="M96">
        <v>5367</v>
      </c>
    </row>
    <row r="97" spans="1:13" ht="25.5" x14ac:dyDescent="0.2">
      <c r="A97" s="739"/>
      <c r="B97" s="337" t="s">
        <v>242</v>
      </c>
      <c r="C97" s="337" t="s">
        <v>100</v>
      </c>
      <c r="D97" s="338" t="s">
        <v>290</v>
      </c>
      <c r="E97" s="354">
        <f t="shared" si="20"/>
        <v>25214.28</v>
      </c>
      <c r="F97" s="355">
        <f t="shared" si="21"/>
        <v>19811.22</v>
      </c>
      <c r="G97" s="355">
        <f t="shared" si="22"/>
        <v>18910.710000000003</v>
      </c>
      <c r="H97" s="355">
        <f t="shared" si="23"/>
        <v>18010.2</v>
      </c>
      <c r="I97" s="356">
        <f t="shared" si="19"/>
        <v>8845.2000000000007</v>
      </c>
      <c r="J97" s="341">
        <v>9165</v>
      </c>
      <c r="K97" s="359">
        <f t="shared" si="24"/>
        <v>15262.881355932204</v>
      </c>
      <c r="M97">
        <v>6552</v>
      </c>
    </row>
    <row r="98" spans="1:13" ht="25.5" x14ac:dyDescent="0.2">
      <c r="A98" s="742"/>
      <c r="B98" s="337" t="s">
        <v>486</v>
      </c>
      <c r="C98" s="337" t="s">
        <v>100</v>
      </c>
      <c r="D98" s="338" t="s">
        <v>290</v>
      </c>
      <c r="E98" s="354">
        <f t="shared" si="20"/>
        <v>23758.98</v>
      </c>
      <c r="F98" s="355">
        <f t="shared" si="21"/>
        <v>18667.770000000004</v>
      </c>
      <c r="G98" s="355">
        <f t="shared" si="22"/>
        <v>17819.235000000001</v>
      </c>
      <c r="H98" s="355">
        <f t="shared" si="23"/>
        <v>16970.7</v>
      </c>
      <c r="I98" s="356">
        <f t="shared" si="19"/>
        <v>7805.7000000000007</v>
      </c>
      <c r="J98" s="341">
        <v>9165</v>
      </c>
      <c r="K98" s="359">
        <f t="shared" si="24"/>
        <v>14381.949152542375</v>
      </c>
      <c r="M98">
        <v>5782</v>
      </c>
    </row>
    <row r="99" spans="1:13" s="342" customFormat="1" ht="12.75" x14ac:dyDescent="0.2">
      <c r="A99" s="750" t="s">
        <v>552</v>
      </c>
      <c r="B99" s="344" t="s">
        <v>553</v>
      </c>
      <c r="C99" s="344" t="s">
        <v>76</v>
      </c>
      <c r="D99" s="343"/>
      <c r="E99" s="360">
        <f t="shared" si="20"/>
        <v>0</v>
      </c>
      <c r="F99" s="359">
        <f t="shared" si="21"/>
        <v>0</v>
      </c>
      <c r="G99" s="359">
        <f t="shared" si="22"/>
        <v>0</v>
      </c>
      <c r="H99" s="359">
        <f t="shared" si="23"/>
        <v>0</v>
      </c>
      <c r="I99" s="359">
        <f t="shared" si="19"/>
        <v>0</v>
      </c>
      <c r="J99" s="344"/>
      <c r="K99" s="359">
        <f t="shared" si="24"/>
        <v>0</v>
      </c>
    </row>
    <row r="100" spans="1:13" s="342" customFormat="1" ht="12.75" x14ac:dyDescent="0.2">
      <c r="A100" s="731"/>
      <c r="B100" s="344" t="s">
        <v>554</v>
      </c>
      <c r="C100" s="344" t="s">
        <v>76</v>
      </c>
      <c r="D100" s="343"/>
      <c r="E100" s="360">
        <f t="shared" si="20"/>
        <v>0</v>
      </c>
      <c r="F100" s="359">
        <f t="shared" si="21"/>
        <v>0</v>
      </c>
      <c r="G100" s="359">
        <f t="shared" si="22"/>
        <v>0</v>
      </c>
      <c r="H100" s="359">
        <f t="shared" si="23"/>
        <v>0</v>
      </c>
      <c r="I100" s="359">
        <f t="shared" si="19"/>
        <v>0</v>
      </c>
      <c r="J100" s="344"/>
      <c r="K100" s="359">
        <f t="shared" si="24"/>
        <v>0</v>
      </c>
    </row>
    <row r="101" spans="1:13" s="342" customFormat="1" ht="12.75" x14ac:dyDescent="0.2">
      <c r="A101" s="731"/>
      <c r="B101" s="344" t="s">
        <v>555</v>
      </c>
      <c r="C101" s="344" t="s">
        <v>101</v>
      </c>
      <c r="D101" s="343" t="s">
        <v>281</v>
      </c>
      <c r="E101" s="360">
        <f t="shared" si="20"/>
        <v>4176.2</v>
      </c>
      <c r="F101" s="359">
        <f t="shared" si="21"/>
        <v>3281.3</v>
      </c>
      <c r="G101" s="359">
        <f t="shared" si="22"/>
        <v>3132.15</v>
      </c>
      <c r="H101" s="359">
        <f t="shared" si="23"/>
        <v>2983</v>
      </c>
      <c r="I101" s="359">
        <f t="shared" si="19"/>
        <v>0</v>
      </c>
      <c r="J101" s="344">
        <v>2983</v>
      </c>
      <c r="K101" s="359">
        <f t="shared" si="24"/>
        <v>2527.9661016949153</v>
      </c>
    </row>
    <row r="102" spans="1:13" s="342" customFormat="1" ht="12.75" x14ac:dyDescent="0.2">
      <c r="A102" s="731"/>
      <c r="B102" s="344" t="s">
        <v>556</v>
      </c>
      <c r="C102" s="344" t="s">
        <v>101</v>
      </c>
      <c r="D102" s="343" t="s">
        <v>281</v>
      </c>
      <c r="E102" s="360">
        <f t="shared" si="20"/>
        <v>4176.2</v>
      </c>
      <c r="F102" s="359">
        <f t="shared" si="21"/>
        <v>3281.3</v>
      </c>
      <c r="G102" s="359">
        <f t="shared" si="22"/>
        <v>3132.15</v>
      </c>
      <c r="H102" s="359">
        <f t="shared" si="23"/>
        <v>2983</v>
      </c>
      <c r="I102" s="359">
        <f t="shared" si="19"/>
        <v>0</v>
      </c>
      <c r="J102" s="344">
        <v>2983</v>
      </c>
      <c r="K102" s="359">
        <f t="shared" si="24"/>
        <v>2527.9661016949153</v>
      </c>
    </row>
    <row r="103" spans="1:13" s="342" customFormat="1" ht="12.75" x14ac:dyDescent="0.2">
      <c r="A103" s="731"/>
      <c r="B103" s="344" t="s">
        <v>557</v>
      </c>
      <c r="C103" s="344" t="s">
        <v>102</v>
      </c>
      <c r="D103" s="343" t="s">
        <v>282</v>
      </c>
      <c r="E103" s="360">
        <f t="shared" si="20"/>
        <v>4984</v>
      </c>
      <c r="F103" s="359">
        <f t="shared" si="21"/>
        <v>3916.0000000000005</v>
      </c>
      <c r="G103" s="359">
        <f t="shared" si="22"/>
        <v>3738</v>
      </c>
      <c r="H103" s="359">
        <f t="shared" si="23"/>
        <v>3560</v>
      </c>
      <c r="I103" s="359">
        <f t="shared" si="19"/>
        <v>0</v>
      </c>
      <c r="J103" s="344">
        <v>3560</v>
      </c>
      <c r="K103" s="359">
        <f t="shared" si="24"/>
        <v>3016.9491525423732</v>
      </c>
    </row>
    <row r="104" spans="1:13" s="342" customFormat="1" ht="12.75" x14ac:dyDescent="0.2">
      <c r="A104" s="731"/>
      <c r="B104" s="344" t="s">
        <v>558</v>
      </c>
      <c r="C104" s="344" t="s">
        <v>102</v>
      </c>
      <c r="D104" s="343" t="s">
        <v>282</v>
      </c>
      <c r="E104" s="360">
        <f t="shared" si="20"/>
        <v>4984</v>
      </c>
      <c r="F104" s="359">
        <f t="shared" si="21"/>
        <v>3916.0000000000005</v>
      </c>
      <c r="G104" s="359">
        <f t="shared" si="22"/>
        <v>3738</v>
      </c>
      <c r="H104" s="359">
        <f t="shared" si="23"/>
        <v>3560</v>
      </c>
      <c r="I104" s="359">
        <f t="shared" si="19"/>
        <v>0</v>
      </c>
      <c r="J104" s="344">
        <v>3560</v>
      </c>
      <c r="K104" s="359">
        <f t="shared" si="24"/>
        <v>3016.9491525423732</v>
      </c>
    </row>
    <row r="105" spans="1:13" s="342" customFormat="1" ht="12.75" x14ac:dyDescent="0.2">
      <c r="A105" s="731"/>
      <c r="B105" s="344" t="s">
        <v>559</v>
      </c>
      <c r="C105" s="344" t="s">
        <v>103</v>
      </c>
      <c r="D105" s="343" t="s">
        <v>283</v>
      </c>
      <c r="E105" s="360">
        <f t="shared" si="20"/>
        <v>6248.2</v>
      </c>
      <c r="F105" s="359">
        <f t="shared" si="21"/>
        <v>4909.3</v>
      </c>
      <c r="G105" s="359">
        <f t="shared" si="22"/>
        <v>4686.1500000000005</v>
      </c>
      <c r="H105" s="359">
        <f t="shared" si="23"/>
        <v>4463</v>
      </c>
      <c r="I105" s="359">
        <f t="shared" si="19"/>
        <v>0</v>
      </c>
      <c r="J105" s="344">
        <v>4463</v>
      </c>
      <c r="K105" s="359">
        <f t="shared" si="24"/>
        <v>3782.2033898305085</v>
      </c>
    </row>
    <row r="106" spans="1:13" s="342" customFormat="1" ht="12.75" x14ac:dyDescent="0.2">
      <c r="A106" s="751"/>
      <c r="B106" s="344" t="s">
        <v>560</v>
      </c>
      <c r="C106" s="344" t="s">
        <v>103</v>
      </c>
      <c r="D106" s="343" t="s">
        <v>283</v>
      </c>
      <c r="E106" s="360">
        <f t="shared" si="20"/>
        <v>6248.2</v>
      </c>
      <c r="F106" s="359">
        <f t="shared" si="21"/>
        <v>4909.3</v>
      </c>
      <c r="G106" s="359">
        <f t="shared" si="22"/>
        <v>4686.1500000000005</v>
      </c>
      <c r="H106" s="359">
        <f t="shared" si="23"/>
        <v>4463</v>
      </c>
      <c r="I106" s="359">
        <f t="shared" ref="I106:I126" si="25">M106*1.35</f>
        <v>0</v>
      </c>
      <c r="J106" s="344">
        <v>4463</v>
      </c>
      <c r="K106" s="359">
        <f t="shared" si="24"/>
        <v>3782.2033898305085</v>
      </c>
    </row>
    <row r="107" spans="1:13" ht="12.75" x14ac:dyDescent="0.2">
      <c r="A107" s="741" t="s">
        <v>161</v>
      </c>
      <c r="B107" s="337" t="s">
        <v>409</v>
      </c>
      <c r="C107" s="337" t="s">
        <v>13</v>
      </c>
      <c r="D107" s="338"/>
      <c r="E107" s="354">
        <f t="shared" si="20"/>
        <v>5717.2500000000009</v>
      </c>
      <c r="F107" s="355">
        <f t="shared" si="21"/>
        <v>4492.1250000000009</v>
      </c>
      <c r="G107" s="355">
        <f t="shared" si="22"/>
        <v>4287.9375000000009</v>
      </c>
      <c r="H107" s="355">
        <f t="shared" si="23"/>
        <v>4083.7500000000009</v>
      </c>
      <c r="I107" s="356">
        <f t="shared" si="25"/>
        <v>4083.7500000000009</v>
      </c>
      <c r="J107" s="341"/>
      <c r="K107" s="359">
        <f t="shared" si="24"/>
        <v>3460.8050847457635</v>
      </c>
      <c r="M107">
        <v>3025.0000000000005</v>
      </c>
    </row>
    <row r="108" spans="1:13" ht="12.75" x14ac:dyDescent="0.2">
      <c r="A108" s="739"/>
      <c r="B108" s="337" t="s">
        <v>410</v>
      </c>
      <c r="C108" s="337" t="s">
        <v>75</v>
      </c>
      <c r="D108" s="338"/>
      <c r="E108" s="354">
        <f t="shared" si="20"/>
        <v>10810.800000000001</v>
      </c>
      <c r="F108" s="355">
        <f t="shared" si="21"/>
        <v>8494.2000000000025</v>
      </c>
      <c r="G108" s="355">
        <f t="shared" si="22"/>
        <v>8108.1000000000022</v>
      </c>
      <c r="H108" s="355">
        <f t="shared" si="23"/>
        <v>7722.0000000000018</v>
      </c>
      <c r="I108" s="356">
        <f t="shared" si="25"/>
        <v>7722.0000000000018</v>
      </c>
      <c r="J108" s="341"/>
      <c r="K108" s="359">
        <f t="shared" si="24"/>
        <v>6544.0677966101712</v>
      </c>
      <c r="M108">
        <v>5720.0000000000009</v>
      </c>
    </row>
    <row r="109" spans="1:13" ht="12.75" x14ac:dyDescent="0.2">
      <c r="A109" s="742"/>
      <c r="B109" s="337" t="s">
        <v>303</v>
      </c>
      <c r="C109" s="337" t="s">
        <v>92</v>
      </c>
      <c r="D109" s="338" t="s">
        <v>291</v>
      </c>
      <c r="E109" s="354">
        <f t="shared" si="20"/>
        <v>8247.26</v>
      </c>
      <c r="F109" s="355">
        <f t="shared" si="21"/>
        <v>6479.9900000000007</v>
      </c>
      <c r="G109" s="355">
        <f t="shared" si="22"/>
        <v>6185.4450000000006</v>
      </c>
      <c r="H109" s="355">
        <f t="shared" si="23"/>
        <v>5890.9000000000005</v>
      </c>
      <c r="I109" s="356">
        <f t="shared" si="25"/>
        <v>4689.9000000000005</v>
      </c>
      <c r="J109" s="341">
        <v>1201</v>
      </c>
      <c r="K109" s="359">
        <f t="shared" si="24"/>
        <v>4992.2881355932213</v>
      </c>
      <c r="M109">
        <v>3474</v>
      </c>
    </row>
    <row r="110" spans="1:13" ht="12.75" x14ac:dyDescent="0.2">
      <c r="A110" s="741" t="s">
        <v>153</v>
      </c>
      <c r="B110" s="337" t="s">
        <v>487</v>
      </c>
      <c r="C110" s="337" t="s">
        <v>12</v>
      </c>
      <c r="D110" s="338"/>
      <c r="E110" s="354">
        <f t="shared" si="20"/>
        <v>5197.5</v>
      </c>
      <c r="F110" s="355">
        <f t="shared" si="21"/>
        <v>4083.7500000000009</v>
      </c>
      <c r="G110" s="355">
        <f t="shared" si="22"/>
        <v>3898.1250000000005</v>
      </c>
      <c r="H110" s="355">
        <f t="shared" si="23"/>
        <v>3712.5000000000005</v>
      </c>
      <c r="I110" s="356">
        <f t="shared" si="25"/>
        <v>3712.5000000000005</v>
      </c>
      <c r="J110" s="341"/>
      <c r="K110" s="359">
        <f t="shared" si="24"/>
        <v>3146.1864406779669</v>
      </c>
      <c r="M110">
        <v>2750</v>
      </c>
    </row>
    <row r="111" spans="1:13" ht="12.75" x14ac:dyDescent="0.2">
      <c r="A111" s="739"/>
      <c r="B111" s="337" t="s">
        <v>488</v>
      </c>
      <c r="C111" s="337"/>
      <c r="D111" s="338"/>
      <c r="E111" s="354">
        <f t="shared" si="20"/>
        <v>6756.75</v>
      </c>
      <c r="F111" s="355">
        <f t="shared" si="21"/>
        <v>5308.875</v>
      </c>
      <c r="G111" s="355">
        <f t="shared" si="22"/>
        <v>5067.5625</v>
      </c>
      <c r="H111" s="355">
        <f t="shared" si="23"/>
        <v>4826.25</v>
      </c>
      <c r="I111" s="356">
        <f t="shared" si="25"/>
        <v>4826.25</v>
      </c>
      <c r="J111" s="341"/>
      <c r="K111" s="359">
        <f t="shared" si="24"/>
        <v>4090.0423728813562</v>
      </c>
      <c r="M111">
        <v>3575</v>
      </c>
    </row>
    <row r="112" spans="1:13" ht="12.75" x14ac:dyDescent="0.2">
      <c r="A112" s="739"/>
      <c r="B112" s="337" t="s">
        <v>489</v>
      </c>
      <c r="C112" s="337" t="s">
        <v>75</v>
      </c>
      <c r="D112" s="338"/>
      <c r="E112" s="354">
        <f t="shared" si="20"/>
        <v>13513.500000000002</v>
      </c>
      <c r="F112" s="355">
        <f t="shared" si="21"/>
        <v>10617.750000000004</v>
      </c>
      <c r="G112" s="355">
        <f t="shared" si="22"/>
        <v>10135.125000000002</v>
      </c>
      <c r="H112" s="355">
        <f t="shared" si="23"/>
        <v>9652.5000000000018</v>
      </c>
      <c r="I112" s="356">
        <f t="shared" si="25"/>
        <v>9652.5000000000018</v>
      </c>
      <c r="J112" s="341"/>
      <c r="K112" s="359">
        <f t="shared" si="24"/>
        <v>8180.0847457627142</v>
      </c>
      <c r="M112">
        <v>7150.0000000000009</v>
      </c>
    </row>
    <row r="113" spans="1:13" ht="12.75" x14ac:dyDescent="0.2">
      <c r="A113" s="739"/>
      <c r="B113" s="337" t="s">
        <v>490</v>
      </c>
      <c r="C113" s="337" t="s">
        <v>90</v>
      </c>
      <c r="D113" s="338" t="s">
        <v>291</v>
      </c>
      <c r="E113" s="354">
        <f t="shared" si="20"/>
        <v>10742.06</v>
      </c>
      <c r="F113" s="355">
        <f t="shared" si="21"/>
        <v>8440.19</v>
      </c>
      <c r="G113" s="355">
        <f t="shared" si="22"/>
        <v>8056.545000000001</v>
      </c>
      <c r="H113" s="355">
        <f t="shared" si="23"/>
        <v>7672.9000000000005</v>
      </c>
      <c r="I113" s="356">
        <f t="shared" si="25"/>
        <v>6471.9000000000005</v>
      </c>
      <c r="J113" s="341">
        <v>1201</v>
      </c>
      <c r="K113" s="359">
        <f t="shared" si="24"/>
        <v>6502.4576271186452</v>
      </c>
      <c r="M113">
        <v>4794</v>
      </c>
    </row>
    <row r="114" spans="1:13" ht="12.75" x14ac:dyDescent="0.2">
      <c r="A114" s="742"/>
      <c r="B114" s="337" t="s">
        <v>491</v>
      </c>
      <c r="C114" s="337" t="s">
        <v>91</v>
      </c>
      <c r="D114" s="338"/>
      <c r="E114" s="354">
        <f t="shared" si="20"/>
        <v>17671.5</v>
      </c>
      <c r="F114" s="355">
        <f t="shared" si="21"/>
        <v>13884.750000000002</v>
      </c>
      <c r="G114" s="355">
        <f t="shared" si="22"/>
        <v>13253.625</v>
      </c>
      <c r="H114" s="355">
        <f t="shared" si="23"/>
        <v>12622.5</v>
      </c>
      <c r="I114" s="356">
        <f t="shared" si="25"/>
        <v>12622.5</v>
      </c>
      <c r="J114" s="341"/>
      <c r="K114" s="359">
        <f t="shared" si="24"/>
        <v>10697.033898305086</v>
      </c>
      <c r="M114">
        <v>9350</v>
      </c>
    </row>
    <row r="115" spans="1:13" ht="12.75" x14ac:dyDescent="0.2">
      <c r="A115" s="741" t="s">
        <v>155</v>
      </c>
      <c r="B115" s="337" t="s">
        <v>29</v>
      </c>
      <c r="C115" s="337" t="s">
        <v>63</v>
      </c>
      <c r="D115" s="338"/>
      <c r="E115" s="354">
        <f t="shared" si="20"/>
        <v>2853.9</v>
      </c>
      <c r="F115" s="355">
        <f t="shared" si="21"/>
        <v>2242.3500000000004</v>
      </c>
      <c r="G115" s="355">
        <f t="shared" si="22"/>
        <v>2140.4250000000002</v>
      </c>
      <c r="H115" s="355">
        <f t="shared" si="23"/>
        <v>2038.5000000000002</v>
      </c>
      <c r="I115" s="356">
        <f t="shared" si="25"/>
        <v>2038.5000000000002</v>
      </c>
      <c r="J115" s="341"/>
      <c r="K115" s="359">
        <f t="shared" si="24"/>
        <v>1727.5423728813562</v>
      </c>
      <c r="M115">
        <v>1510</v>
      </c>
    </row>
    <row r="116" spans="1:13" ht="12.75" x14ac:dyDescent="0.2">
      <c r="A116" s="739"/>
      <c r="B116" s="337" t="s">
        <v>30</v>
      </c>
      <c r="C116" s="337" t="s">
        <v>64</v>
      </c>
      <c r="D116" s="338"/>
      <c r="E116" s="354">
        <f t="shared" si="20"/>
        <v>3061.7999999999997</v>
      </c>
      <c r="F116" s="355">
        <f t="shared" si="21"/>
        <v>2405.7000000000003</v>
      </c>
      <c r="G116" s="355">
        <f t="shared" si="22"/>
        <v>2296.35</v>
      </c>
      <c r="H116" s="355">
        <f t="shared" si="23"/>
        <v>2187</v>
      </c>
      <c r="I116" s="356">
        <f t="shared" si="25"/>
        <v>2187</v>
      </c>
      <c r="J116" s="341"/>
      <c r="K116" s="359">
        <f t="shared" si="24"/>
        <v>1853.3898305084747</v>
      </c>
      <c r="M116">
        <v>1620</v>
      </c>
    </row>
    <row r="117" spans="1:13" ht="12.75" x14ac:dyDescent="0.2">
      <c r="A117" s="739"/>
      <c r="B117" s="337" t="s">
        <v>384</v>
      </c>
      <c r="C117" s="337" t="s">
        <v>77</v>
      </c>
      <c r="D117" s="338"/>
      <c r="E117" s="354">
        <f t="shared" si="20"/>
        <v>9487.7999999999993</v>
      </c>
      <c r="F117" s="355">
        <f t="shared" si="21"/>
        <v>7454.7000000000007</v>
      </c>
      <c r="G117" s="355">
        <f t="shared" si="22"/>
        <v>7115.85</v>
      </c>
      <c r="H117" s="355">
        <f t="shared" si="23"/>
        <v>6777</v>
      </c>
      <c r="I117" s="356">
        <f t="shared" si="25"/>
        <v>6777</v>
      </c>
      <c r="J117" s="341"/>
      <c r="K117" s="359">
        <f t="shared" si="24"/>
        <v>5743.2203389830511</v>
      </c>
      <c r="M117">
        <v>5020</v>
      </c>
    </row>
    <row r="118" spans="1:13" ht="12.75" x14ac:dyDescent="0.2">
      <c r="A118" s="739"/>
      <c r="B118" s="337" t="s">
        <v>317</v>
      </c>
      <c r="C118" s="337" t="s">
        <v>104</v>
      </c>
      <c r="D118" s="338" t="s">
        <v>285</v>
      </c>
      <c r="E118" s="354">
        <f t="shared" si="20"/>
        <v>7375.9</v>
      </c>
      <c r="F118" s="355">
        <f t="shared" si="21"/>
        <v>5795.35</v>
      </c>
      <c r="G118" s="355">
        <f t="shared" si="22"/>
        <v>5531.9250000000002</v>
      </c>
      <c r="H118" s="355">
        <f t="shared" si="23"/>
        <v>5268.5</v>
      </c>
      <c r="I118" s="356">
        <f t="shared" si="25"/>
        <v>4063.5000000000005</v>
      </c>
      <c r="J118" s="341">
        <v>1205</v>
      </c>
      <c r="K118" s="359">
        <f t="shared" si="24"/>
        <v>4464.8305084745762</v>
      </c>
      <c r="M118">
        <v>3010</v>
      </c>
    </row>
    <row r="119" spans="1:13" ht="25.5" x14ac:dyDescent="0.2">
      <c r="A119" s="742"/>
      <c r="B119" s="337" t="s">
        <v>318</v>
      </c>
      <c r="C119" s="337" t="s">
        <v>365</v>
      </c>
      <c r="D119" s="338" t="s">
        <v>286</v>
      </c>
      <c r="E119" s="354">
        <f t="shared" si="20"/>
        <v>7797.2999999999993</v>
      </c>
      <c r="F119" s="355">
        <f t="shared" si="21"/>
        <v>6126.4500000000007</v>
      </c>
      <c r="G119" s="355">
        <f t="shared" si="22"/>
        <v>5847.9750000000004</v>
      </c>
      <c r="H119" s="355">
        <f t="shared" si="23"/>
        <v>5569.5</v>
      </c>
      <c r="I119" s="356">
        <f t="shared" si="25"/>
        <v>4279.5</v>
      </c>
      <c r="J119" s="341">
        <v>1290</v>
      </c>
      <c r="K119" s="359">
        <f t="shared" si="24"/>
        <v>4719.9152542372885</v>
      </c>
      <c r="M119">
        <v>3170</v>
      </c>
    </row>
    <row r="120" spans="1:13" ht="12.75" x14ac:dyDescent="0.2">
      <c r="A120" s="741" t="s">
        <v>162</v>
      </c>
      <c r="B120" s="337" t="s">
        <v>39</v>
      </c>
      <c r="C120" s="337" t="s">
        <v>92</v>
      </c>
      <c r="D120" s="338" t="s">
        <v>281</v>
      </c>
      <c r="E120" s="354">
        <f t="shared" si="20"/>
        <v>10889.480000000001</v>
      </c>
      <c r="F120" s="355">
        <f t="shared" si="21"/>
        <v>8556.0200000000023</v>
      </c>
      <c r="G120" s="355">
        <f t="shared" si="22"/>
        <v>8167.1100000000024</v>
      </c>
      <c r="H120" s="355">
        <f t="shared" si="23"/>
        <v>7778.2000000000016</v>
      </c>
      <c r="I120" s="356">
        <f t="shared" si="25"/>
        <v>4795.2000000000016</v>
      </c>
      <c r="J120" s="341">
        <v>2983</v>
      </c>
      <c r="K120" s="359">
        <f t="shared" si="24"/>
        <v>6591.6949152542393</v>
      </c>
      <c r="M120">
        <v>3552.0000000000009</v>
      </c>
    </row>
    <row r="121" spans="1:13" ht="12.75" x14ac:dyDescent="0.2">
      <c r="A121" s="739"/>
      <c r="B121" s="337" t="s">
        <v>40</v>
      </c>
      <c r="C121" s="337" t="s">
        <v>108</v>
      </c>
      <c r="D121" s="338" t="s">
        <v>281</v>
      </c>
      <c r="E121" s="354">
        <f t="shared" si="20"/>
        <v>12864.53</v>
      </c>
      <c r="F121" s="355">
        <f t="shared" si="21"/>
        <v>10107.845000000001</v>
      </c>
      <c r="G121" s="355">
        <f t="shared" si="22"/>
        <v>9648.3975000000009</v>
      </c>
      <c r="H121" s="355">
        <f t="shared" si="23"/>
        <v>9188.9500000000007</v>
      </c>
      <c r="I121" s="356">
        <f t="shared" si="25"/>
        <v>6205.9500000000016</v>
      </c>
      <c r="J121" s="341">
        <v>2983</v>
      </c>
      <c r="K121" s="359">
        <f t="shared" si="24"/>
        <v>7787.2457627118656</v>
      </c>
      <c r="M121">
        <v>4597.0000000000009</v>
      </c>
    </row>
    <row r="122" spans="1:13" ht="12.75" x14ac:dyDescent="0.2">
      <c r="A122" s="739"/>
      <c r="B122" s="337" t="s">
        <v>41</v>
      </c>
      <c r="C122" s="337" t="s">
        <v>255</v>
      </c>
      <c r="D122" s="338" t="s">
        <v>282</v>
      </c>
      <c r="E122" s="354">
        <f t="shared" si="20"/>
        <v>12099.850000000002</v>
      </c>
      <c r="F122" s="355">
        <f t="shared" si="21"/>
        <v>9507.0250000000033</v>
      </c>
      <c r="G122" s="355">
        <f t="shared" si="22"/>
        <v>9074.8875000000025</v>
      </c>
      <c r="H122" s="355">
        <f t="shared" si="23"/>
        <v>8642.7500000000018</v>
      </c>
      <c r="I122" s="356">
        <f t="shared" si="25"/>
        <v>5082.7500000000018</v>
      </c>
      <c r="J122" s="341">
        <v>3560</v>
      </c>
      <c r="K122" s="359">
        <f t="shared" si="24"/>
        <v>7324.3644067796631</v>
      </c>
      <c r="M122">
        <v>3765.0000000000009</v>
      </c>
    </row>
    <row r="123" spans="1:13" ht="12.75" x14ac:dyDescent="0.2">
      <c r="A123" s="739"/>
      <c r="B123" s="337" t="s">
        <v>254</v>
      </c>
      <c r="C123" s="337" t="s">
        <v>109</v>
      </c>
      <c r="D123" s="338" t="s">
        <v>282</v>
      </c>
      <c r="E123" s="354">
        <f t="shared" si="20"/>
        <v>16673.649999999998</v>
      </c>
      <c r="F123" s="355">
        <f t="shared" si="21"/>
        <v>13100.725</v>
      </c>
      <c r="G123" s="355">
        <f t="shared" si="22"/>
        <v>12505.237500000001</v>
      </c>
      <c r="H123" s="355">
        <f t="shared" si="23"/>
        <v>11909.75</v>
      </c>
      <c r="I123" s="356">
        <f t="shared" si="25"/>
        <v>8349.75</v>
      </c>
      <c r="J123" s="341">
        <v>3560</v>
      </c>
      <c r="K123" s="359">
        <f t="shared" si="24"/>
        <v>10093.008474576272</v>
      </c>
      <c r="M123">
        <v>6185</v>
      </c>
    </row>
    <row r="124" spans="1:13" ht="12.75" x14ac:dyDescent="0.2">
      <c r="A124" s="742"/>
      <c r="B124" s="337" t="s">
        <v>401</v>
      </c>
      <c r="C124" s="337" t="s">
        <v>82</v>
      </c>
      <c r="D124" s="338"/>
      <c r="E124" s="354">
        <f t="shared" si="20"/>
        <v>10602.900000000001</v>
      </c>
      <c r="F124" s="355">
        <f t="shared" si="21"/>
        <v>8330.8500000000022</v>
      </c>
      <c r="G124" s="355">
        <f t="shared" si="22"/>
        <v>7952.1750000000011</v>
      </c>
      <c r="H124" s="355">
        <f t="shared" si="23"/>
        <v>7573.5000000000009</v>
      </c>
      <c r="I124" s="356">
        <f t="shared" si="25"/>
        <v>7573.5000000000009</v>
      </c>
      <c r="J124" s="341"/>
      <c r="K124" s="359">
        <f t="shared" si="24"/>
        <v>6418.220338983052</v>
      </c>
      <c r="M124">
        <v>5610</v>
      </c>
    </row>
    <row r="125" spans="1:13" ht="12.75" x14ac:dyDescent="0.2">
      <c r="A125" s="741" t="s">
        <v>140</v>
      </c>
      <c r="B125" s="337" t="s">
        <v>184</v>
      </c>
      <c r="C125" s="337" t="s">
        <v>70</v>
      </c>
      <c r="D125" s="338"/>
      <c r="E125" s="354">
        <f t="shared" si="20"/>
        <v>8637.2999999999993</v>
      </c>
      <c r="F125" s="355">
        <f t="shared" si="21"/>
        <v>6786.4500000000007</v>
      </c>
      <c r="G125" s="355">
        <f t="shared" si="22"/>
        <v>6477.9750000000004</v>
      </c>
      <c r="H125" s="355">
        <f t="shared" si="23"/>
        <v>6169.5</v>
      </c>
      <c r="I125" s="356">
        <f t="shared" si="25"/>
        <v>6169.5</v>
      </c>
      <c r="J125" s="341"/>
      <c r="K125" s="359">
        <f t="shared" si="24"/>
        <v>5228.3898305084749</v>
      </c>
      <c r="M125">
        <v>4570</v>
      </c>
    </row>
    <row r="126" spans="1:13" ht="12.75" x14ac:dyDescent="0.2">
      <c r="A126" s="739"/>
      <c r="B126" s="337" t="s">
        <v>401</v>
      </c>
      <c r="C126" s="337" t="s">
        <v>82</v>
      </c>
      <c r="D126" s="338"/>
      <c r="E126" s="354">
        <f t="shared" si="20"/>
        <v>10602.900000000001</v>
      </c>
      <c r="F126" s="355">
        <f t="shared" si="21"/>
        <v>8330.8500000000022</v>
      </c>
      <c r="G126" s="355">
        <f t="shared" si="22"/>
        <v>7952.1750000000011</v>
      </c>
      <c r="H126" s="355">
        <f t="shared" si="23"/>
        <v>7573.5000000000009</v>
      </c>
      <c r="I126" s="356">
        <f t="shared" si="25"/>
        <v>7573.5000000000009</v>
      </c>
      <c r="J126" s="341"/>
      <c r="K126" s="359">
        <f t="shared" si="24"/>
        <v>6418.220338983052</v>
      </c>
      <c r="M126">
        <v>5610</v>
      </c>
    </row>
    <row r="127" spans="1:13" ht="25.5" x14ac:dyDescent="0.2">
      <c r="A127" s="739"/>
      <c r="B127" s="337" t="s">
        <v>256</v>
      </c>
      <c r="C127" s="337" t="s">
        <v>110</v>
      </c>
      <c r="D127" s="338" t="s">
        <v>295</v>
      </c>
      <c r="E127" s="354">
        <f t="shared" ref="E127:E141" si="26">H127*1.4</f>
        <v>26709.199999999997</v>
      </c>
      <c r="F127" s="355">
        <f t="shared" ref="F127:F141" si="27">H127*1.1</f>
        <v>20985.800000000003</v>
      </c>
      <c r="G127" s="355">
        <f t="shared" ref="G127:G141" si="28">H127*1.05</f>
        <v>20031.900000000001</v>
      </c>
      <c r="H127" s="355">
        <f t="shared" ref="H127:H141" si="29">I127+J127</f>
        <v>19078</v>
      </c>
      <c r="I127" s="356">
        <v>6900</v>
      </c>
      <c r="J127" s="341">
        <v>12178</v>
      </c>
      <c r="K127" s="359">
        <f t="shared" ref="K127:K141" si="30">H127/1.18</f>
        <v>16167.796610169493</v>
      </c>
      <c r="M127">
        <v>6778</v>
      </c>
    </row>
    <row r="128" spans="1:13" ht="25.5" x14ac:dyDescent="0.2">
      <c r="A128" s="742"/>
      <c r="B128" s="337" t="s">
        <v>257</v>
      </c>
      <c r="C128" s="337" t="s">
        <v>111</v>
      </c>
      <c r="D128" s="338" t="s">
        <v>295</v>
      </c>
      <c r="E128" s="354">
        <f t="shared" si="26"/>
        <v>34269.199999999997</v>
      </c>
      <c r="F128" s="355">
        <f t="shared" si="27"/>
        <v>26925.800000000003</v>
      </c>
      <c r="G128" s="355">
        <f t="shared" si="28"/>
        <v>25701.9</v>
      </c>
      <c r="H128" s="355">
        <f t="shared" si="29"/>
        <v>24478</v>
      </c>
      <c r="I128" s="356">
        <v>12300</v>
      </c>
      <c r="J128" s="341">
        <v>12178</v>
      </c>
      <c r="K128" s="359">
        <f t="shared" si="30"/>
        <v>20744.067796610172</v>
      </c>
      <c r="M128">
        <v>10243</v>
      </c>
    </row>
    <row r="129" spans="1:13" ht="19.5" customHeight="1" x14ac:dyDescent="0.2">
      <c r="A129" s="741" t="s">
        <v>346</v>
      </c>
      <c r="B129" s="337" t="s">
        <v>356</v>
      </c>
      <c r="C129" s="337" t="s">
        <v>360</v>
      </c>
      <c r="D129" s="338"/>
      <c r="E129" s="354">
        <f t="shared" si="26"/>
        <v>9388.4</v>
      </c>
      <c r="F129" s="355">
        <f t="shared" si="27"/>
        <v>7376.6</v>
      </c>
      <c r="G129" s="355">
        <f t="shared" si="28"/>
        <v>7041.3</v>
      </c>
      <c r="H129" s="355">
        <f t="shared" si="29"/>
        <v>6706</v>
      </c>
      <c r="I129" s="356">
        <f t="shared" ref="I129:I135" si="31">M129*1.4</f>
        <v>6706</v>
      </c>
      <c r="J129" s="341"/>
      <c r="K129" s="359">
        <f t="shared" si="30"/>
        <v>5683.0508474576272</v>
      </c>
      <c r="M129">
        <v>4790</v>
      </c>
    </row>
    <row r="130" spans="1:13" ht="12.75" hidden="1" x14ac:dyDescent="0.2">
      <c r="A130" s="739"/>
      <c r="B130" s="337" t="s">
        <v>357</v>
      </c>
      <c r="C130" s="337" t="s">
        <v>361</v>
      </c>
      <c r="D130" s="338"/>
      <c r="E130" s="354">
        <f t="shared" si="26"/>
        <v>0</v>
      </c>
      <c r="F130" s="355">
        <f t="shared" si="27"/>
        <v>0</v>
      </c>
      <c r="G130" s="355">
        <f t="shared" si="28"/>
        <v>0</v>
      </c>
      <c r="H130" s="355">
        <f t="shared" si="29"/>
        <v>0</v>
      </c>
      <c r="I130" s="356">
        <f t="shared" si="31"/>
        <v>0</v>
      </c>
      <c r="J130" s="341"/>
      <c r="K130" s="359">
        <f t="shared" si="30"/>
        <v>0</v>
      </c>
      <c r="M130">
        <v>0</v>
      </c>
    </row>
    <row r="131" spans="1:13" ht="12.75" hidden="1" x14ac:dyDescent="0.2">
      <c r="A131" s="739"/>
      <c r="B131" s="337" t="s">
        <v>358</v>
      </c>
      <c r="C131" s="337" t="s">
        <v>362</v>
      </c>
      <c r="D131" s="338"/>
      <c r="E131" s="354">
        <f t="shared" si="26"/>
        <v>0</v>
      </c>
      <c r="F131" s="355">
        <f t="shared" si="27"/>
        <v>0</v>
      </c>
      <c r="G131" s="355">
        <f t="shared" si="28"/>
        <v>0</v>
      </c>
      <c r="H131" s="355">
        <f t="shared" si="29"/>
        <v>0</v>
      </c>
      <c r="I131" s="356">
        <f t="shared" si="31"/>
        <v>0</v>
      </c>
      <c r="J131" s="341"/>
      <c r="K131" s="359">
        <f t="shared" si="30"/>
        <v>0</v>
      </c>
      <c r="M131">
        <v>0</v>
      </c>
    </row>
    <row r="132" spans="1:13" ht="12.75" hidden="1" x14ac:dyDescent="0.2">
      <c r="A132" s="742"/>
      <c r="B132" s="337" t="s">
        <v>359</v>
      </c>
      <c r="C132" s="337" t="s">
        <v>363</v>
      </c>
      <c r="D132" s="338"/>
      <c r="E132" s="354">
        <f t="shared" si="26"/>
        <v>0</v>
      </c>
      <c r="F132" s="355">
        <f t="shared" si="27"/>
        <v>0</v>
      </c>
      <c r="G132" s="355">
        <f t="shared" si="28"/>
        <v>0</v>
      </c>
      <c r="H132" s="355">
        <f t="shared" si="29"/>
        <v>0</v>
      </c>
      <c r="I132" s="356">
        <f t="shared" si="31"/>
        <v>0</v>
      </c>
      <c r="J132" s="341"/>
      <c r="K132" s="359">
        <f t="shared" si="30"/>
        <v>0</v>
      </c>
      <c r="M132">
        <v>0</v>
      </c>
    </row>
    <row r="133" spans="1:13" ht="12.75" x14ac:dyDescent="0.2">
      <c r="A133" s="741" t="s">
        <v>143</v>
      </c>
      <c r="B133" s="337" t="s">
        <v>44</v>
      </c>
      <c r="C133" s="337" t="s">
        <v>71</v>
      </c>
      <c r="D133" s="338"/>
      <c r="E133" s="354">
        <f t="shared" si="26"/>
        <v>9408</v>
      </c>
      <c r="F133" s="355">
        <f t="shared" si="27"/>
        <v>7392.0000000000009</v>
      </c>
      <c r="G133" s="355">
        <f t="shared" si="28"/>
        <v>7056</v>
      </c>
      <c r="H133" s="355">
        <f t="shared" si="29"/>
        <v>6720</v>
      </c>
      <c r="I133" s="356">
        <f t="shared" si="31"/>
        <v>6720</v>
      </c>
      <c r="J133" s="341"/>
      <c r="K133" s="359">
        <f t="shared" si="30"/>
        <v>5694.9152542372885</v>
      </c>
      <c r="M133">
        <v>4800</v>
      </c>
    </row>
    <row r="134" spans="1:13" ht="12.75" x14ac:dyDescent="0.2">
      <c r="A134" s="739"/>
      <c r="B134" s="337" t="s">
        <v>401</v>
      </c>
      <c r="C134" s="337" t="s">
        <v>82</v>
      </c>
      <c r="D134" s="338"/>
      <c r="E134" s="354">
        <f t="shared" si="26"/>
        <v>10995.599999999999</v>
      </c>
      <c r="F134" s="355">
        <f t="shared" si="27"/>
        <v>8639.4</v>
      </c>
      <c r="G134" s="355">
        <f t="shared" si="28"/>
        <v>8246.6999999999989</v>
      </c>
      <c r="H134" s="355">
        <f t="shared" si="29"/>
        <v>7853.9999999999991</v>
      </c>
      <c r="I134" s="356">
        <f t="shared" si="31"/>
        <v>7853.9999999999991</v>
      </c>
      <c r="J134" s="341"/>
      <c r="K134" s="359">
        <f t="shared" si="30"/>
        <v>6655.9322033898297</v>
      </c>
      <c r="M134">
        <v>5610</v>
      </c>
    </row>
    <row r="135" spans="1:13" ht="12.75" x14ac:dyDescent="0.2">
      <c r="A135" s="742"/>
      <c r="B135" s="337" t="s">
        <v>512</v>
      </c>
      <c r="C135" s="337" t="s">
        <v>112</v>
      </c>
      <c r="D135" s="338" t="s">
        <v>296</v>
      </c>
      <c r="E135" s="354">
        <f t="shared" si="26"/>
        <v>32650.519999999997</v>
      </c>
      <c r="F135" s="355">
        <f t="shared" si="27"/>
        <v>25653.98</v>
      </c>
      <c r="G135" s="355">
        <f t="shared" si="28"/>
        <v>24487.89</v>
      </c>
      <c r="H135" s="355">
        <f t="shared" si="29"/>
        <v>23321.8</v>
      </c>
      <c r="I135" s="356">
        <f t="shared" si="31"/>
        <v>21765.8</v>
      </c>
      <c r="J135" s="341">
        <v>1556</v>
      </c>
      <c r="K135" s="359">
        <f t="shared" si="30"/>
        <v>19764.237288135595</v>
      </c>
      <c r="M135">
        <v>15547</v>
      </c>
    </row>
    <row r="136" spans="1:13" ht="12.75" x14ac:dyDescent="0.2">
      <c r="A136" s="741" t="s">
        <v>563</v>
      </c>
      <c r="B136" s="337" t="s">
        <v>580</v>
      </c>
      <c r="C136" s="337" t="s">
        <v>574</v>
      </c>
      <c r="D136" s="338" t="s">
        <v>593</v>
      </c>
      <c r="E136" s="354">
        <f t="shared" si="26"/>
        <v>3919.9999999999995</v>
      </c>
      <c r="F136" s="355">
        <f t="shared" si="27"/>
        <v>3080.0000000000005</v>
      </c>
      <c r="G136" s="355">
        <f t="shared" si="28"/>
        <v>2940</v>
      </c>
      <c r="H136" s="355">
        <f t="shared" si="29"/>
        <v>2800</v>
      </c>
      <c r="I136" s="356">
        <v>1500</v>
      </c>
      <c r="J136" s="341">
        <v>1300</v>
      </c>
      <c r="K136" s="359">
        <f t="shared" si="30"/>
        <v>2372.8813559322034</v>
      </c>
    </row>
    <row r="137" spans="1:13" ht="25.5" x14ac:dyDescent="0.2">
      <c r="A137" s="739"/>
      <c r="B137" s="337" t="s">
        <v>581</v>
      </c>
      <c r="C137" s="337" t="s">
        <v>575</v>
      </c>
      <c r="D137" s="338" t="s">
        <v>564</v>
      </c>
      <c r="E137" s="354">
        <f t="shared" si="26"/>
        <v>10690.4</v>
      </c>
      <c r="F137" s="355">
        <f t="shared" si="27"/>
        <v>8399.6</v>
      </c>
      <c r="G137" s="355">
        <f t="shared" si="28"/>
        <v>8017.8</v>
      </c>
      <c r="H137" s="355">
        <f t="shared" si="29"/>
        <v>7636</v>
      </c>
      <c r="I137" s="356">
        <v>4750</v>
      </c>
      <c r="J137" s="341">
        <v>2886</v>
      </c>
      <c r="K137" s="359">
        <f t="shared" si="30"/>
        <v>6471.1864406779669</v>
      </c>
    </row>
    <row r="138" spans="1:13" ht="12.75" x14ac:dyDescent="0.2">
      <c r="A138" s="739"/>
      <c r="B138" s="337" t="s">
        <v>582</v>
      </c>
      <c r="C138" s="337" t="s">
        <v>579</v>
      </c>
      <c r="D138" s="338" t="s">
        <v>593</v>
      </c>
      <c r="E138" s="354">
        <f t="shared" si="26"/>
        <v>4270</v>
      </c>
      <c r="F138" s="355">
        <f t="shared" si="27"/>
        <v>3355.0000000000005</v>
      </c>
      <c r="G138" s="355">
        <f t="shared" si="28"/>
        <v>3202.5</v>
      </c>
      <c r="H138" s="355">
        <f t="shared" si="29"/>
        <v>3050</v>
      </c>
      <c r="I138" s="356">
        <v>1750</v>
      </c>
      <c r="J138" s="341">
        <v>1300</v>
      </c>
      <c r="K138" s="359">
        <f t="shared" si="30"/>
        <v>2584.7457627118647</v>
      </c>
    </row>
    <row r="139" spans="1:13" ht="25.5" x14ac:dyDescent="0.2">
      <c r="A139" s="739"/>
      <c r="B139" s="337" t="s">
        <v>583</v>
      </c>
      <c r="C139" s="337" t="s">
        <v>576</v>
      </c>
      <c r="D139" s="338" t="s">
        <v>565</v>
      </c>
      <c r="E139" s="354">
        <f t="shared" si="26"/>
        <v>11643.8</v>
      </c>
      <c r="F139" s="355">
        <f t="shared" si="27"/>
        <v>9148.7000000000007</v>
      </c>
      <c r="G139" s="355">
        <f t="shared" si="28"/>
        <v>8732.85</v>
      </c>
      <c r="H139" s="355">
        <f t="shared" si="29"/>
        <v>8317</v>
      </c>
      <c r="I139" s="356">
        <v>4950</v>
      </c>
      <c r="J139" s="341">
        <v>3367</v>
      </c>
      <c r="K139" s="359">
        <f t="shared" si="30"/>
        <v>7048.3050847457635</v>
      </c>
    </row>
    <row r="140" spans="1:13" ht="12.75" x14ac:dyDescent="0.2">
      <c r="A140" s="739"/>
      <c r="B140" s="337" t="s">
        <v>584</v>
      </c>
      <c r="C140" s="337" t="s">
        <v>578</v>
      </c>
      <c r="D140" s="338" t="s">
        <v>593</v>
      </c>
      <c r="E140" s="354">
        <f t="shared" si="26"/>
        <v>4830</v>
      </c>
      <c r="F140" s="355">
        <f t="shared" si="27"/>
        <v>3795.0000000000005</v>
      </c>
      <c r="G140" s="355">
        <f t="shared" si="28"/>
        <v>3622.5</v>
      </c>
      <c r="H140" s="355">
        <f t="shared" si="29"/>
        <v>3450</v>
      </c>
      <c r="I140" s="356">
        <v>2150</v>
      </c>
      <c r="J140" s="341">
        <v>1300</v>
      </c>
      <c r="K140" s="359">
        <f t="shared" si="30"/>
        <v>2923.7288135593221</v>
      </c>
    </row>
    <row r="141" spans="1:13" ht="25.5" x14ac:dyDescent="0.2">
      <c r="A141" s="739"/>
      <c r="B141" s="337" t="s">
        <v>585</v>
      </c>
      <c r="C141" s="337" t="s">
        <v>577</v>
      </c>
      <c r="D141" s="338" t="s">
        <v>566</v>
      </c>
      <c r="E141" s="354">
        <f t="shared" si="26"/>
        <v>13468</v>
      </c>
      <c r="F141" s="355">
        <f t="shared" si="27"/>
        <v>10582</v>
      </c>
      <c r="G141" s="355">
        <f t="shared" si="28"/>
        <v>10101</v>
      </c>
      <c r="H141" s="355">
        <f t="shared" si="29"/>
        <v>9620</v>
      </c>
      <c r="I141" s="356">
        <v>5200</v>
      </c>
      <c r="J141" s="341">
        <v>4420</v>
      </c>
      <c r="K141" s="359">
        <f t="shared" si="30"/>
        <v>8152.5423728813566</v>
      </c>
    </row>
    <row r="142" spans="1:13" ht="12.75" x14ac:dyDescent="0.2">
      <c r="A142" s="739"/>
      <c r="B142" s="337" t="s">
        <v>592</v>
      </c>
      <c r="C142" s="337"/>
      <c r="D142" s="338" t="s">
        <v>593</v>
      </c>
      <c r="E142" s="354"/>
      <c r="F142" s="355"/>
      <c r="G142" s="355"/>
      <c r="H142" s="355"/>
      <c r="I142" s="356">
        <v>1300</v>
      </c>
      <c r="J142" s="341"/>
      <c r="K142" s="359"/>
    </row>
    <row r="143" spans="1:13" ht="12.75" x14ac:dyDescent="0.2">
      <c r="A143" s="742"/>
      <c r="B143" s="337" t="s">
        <v>586</v>
      </c>
      <c r="C143" s="337" t="s">
        <v>573</v>
      </c>
      <c r="D143" s="338"/>
      <c r="E143" s="354">
        <f t="shared" ref="E143:E168" si="32">H143*1.4</f>
        <v>7559.9999999999991</v>
      </c>
      <c r="F143" s="355">
        <f t="shared" ref="F143:F168" si="33">H143*1.1</f>
        <v>5940.0000000000009</v>
      </c>
      <c r="G143" s="355">
        <f t="shared" ref="G143:G168" si="34">H143*1.05</f>
        <v>5670</v>
      </c>
      <c r="H143" s="355">
        <f t="shared" ref="H143:H168" si="35">I143+J143</f>
        <v>5400</v>
      </c>
      <c r="I143" s="356">
        <v>5400</v>
      </c>
      <c r="J143" s="341"/>
      <c r="K143" s="359">
        <f t="shared" ref="K143:K168" si="36">H143/1.18</f>
        <v>4576.2711864406783</v>
      </c>
    </row>
    <row r="144" spans="1:13" ht="12.75" hidden="1" x14ac:dyDescent="0.2">
      <c r="A144" s="741" t="s">
        <v>144</v>
      </c>
      <c r="B144" s="337" t="s">
        <v>310</v>
      </c>
      <c r="C144" s="337" t="s">
        <v>1</v>
      </c>
      <c r="D144" s="338"/>
      <c r="E144" s="354">
        <f t="shared" si="32"/>
        <v>3919.9999999999995</v>
      </c>
      <c r="F144" s="355">
        <f t="shared" si="33"/>
        <v>3080.0000000000005</v>
      </c>
      <c r="G144" s="355">
        <f t="shared" si="34"/>
        <v>2940</v>
      </c>
      <c r="H144" s="355">
        <f t="shared" si="35"/>
        <v>2800</v>
      </c>
      <c r="I144" s="356">
        <f t="shared" ref="I144:I165" si="37">M144*1.4</f>
        <v>2800</v>
      </c>
      <c r="J144" s="341"/>
      <c r="K144" s="359">
        <f t="shared" si="36"/>
        <v>2372.8813559322034</v>
      </c>
      <c r="M144">
        <v>2000</v>
      </c>
    </row>
    <row r="145" spans="1:13" ht="12.75" hidden="1" x14ac:dyDescent="0.2">
      <c r="A145" s="739"/>
      <c r="B145" s="337" t="s">
        <v>309</v>
      </c>
      <c r="C145" s="337" t="s">
        <v>1</v>
      </c>
      <c r="D145" s="338"/>
      <c r="E145" s="354">
        <f t="shared" si="32"/>
        <v>4664.7999999999993</v>
      </c>
      <c r="F145" s="355">
        <f t="shared" si="33"/>
        <v>3665.2000000000003</v>
      </c>
      <c r="G145" s="355">
        <f t="shared" si="34"/>
        <v>3498.6000000000004</v>
      </c>
      <c r="H145" s="355">
        <f t="shared" si="35"/>
        <v>3332</v>
      </c>
      <c r="I145" s="356">
        <f t="shared" si="37"/>
        <v>3332</v>
      </c>
      <c r="J145" s="341"/>
      <c r="K145" s="359">
        <f t="shared" si="36"/>
        <v>2823.7288135593221</v>
      </c>
      <c r="M145">
        <v>2380</v>
      </c>
    </row>
    <row r="146" spans="1:13" ht="12.75" x14ac:dyDescent="0.2">
      <c r="A146" s="739"/>
      <c r="B146" s="337" t="s">
        <v>193</v>
      </c>
      <c r="C146" s="337" t="s">
        <v>2</v>
      </c>
      <c r="D146" s="338"/>
      <c r="E146" s="354">
        <f t="shared" si="32"/>
        <v>4635.3999999999996</v>
      </c>
      <c r="F146" s="355">
        <f t="shared" si="33"/>
        <v>3642.1000000000004</v>
      </c>
      <c r="G146" s="355">
        <f t="shared" si="34"/>
        <v>3476.55</v>
      </c>
      <c r="H146" s="355">
        <f t="shared" si="35"/>
        <v>3311</v>
      </c>
      <c r="I146" s="356">
        <f t="shared" si="37"/>
        <v>3311</v>
      </c>
      <c r="J146" s="341"/>
      <c r="K146" s="359">
        <f t="shared" si="36"/>
        <v>2805.9322033898306</v>
      </c>
      <c r="M146">
        <v>2365</v>
      </c>
    </row>
    <row r="147" spans="1:13" ht="12.75" hidden="1" x14ac:dyDescent="0.2">
      <c r="A147" s="739"/>
      <c r="B147" s="337" t="s">
        <v>195</v>
      </c>
      <c r="C147" s="337" t="s">
        <v>2</v>
      </c>
      <c r="D147" s="338"/>
      <c r="E147" s="354">
        <f t="shared" si="32"/>
        <v>5585.9999999999991</v>
      </c>
      <c r="F147" s="355">
        <f t="shared" si="33"/>
        <v>4389</v>
      </c>
      <c r="G147" s="355">
        <f t="shared" si="34"/>
        <v>4189.5</v>
      </c>
      <c r="H147" s="355">
        <f t="shared" si="35"/>
        <v>3989.9999999999995</v>
      </c>
      <c r="I147" s="356">
        <f t="shared" si="37"/>
        <v>3989.9999999999995</v>
      </c>
      <c r="J147" s="341"/>
      <c r="K147" s="359">
        <f t="shared" si="36"/>
        <v>3381.3559322033898</v>
      </c>
      <c r="M147">
        <v>2850</v>
      </c>
    </row>
    <row r="148" spans="1:13" ht="12.75" x14ac:dyDescent="0.2">
      <c r="A148" s="739"/>
      <c r="B148" s="337" t="s">
        <v>194</v>
      </c>
      <c r="C148" s="337" t="s">
        <v>3</v>
      </c>
      <c r="D148" s="338"/>
      <c r="E148" s="354">
        <f t="shared" si="32"/>
        <v>5713.4000000000005</v>
      </c>
      <c r="F148" s="355">
        <f t="shared" si="33"/>
        <v>4489.1000000000013</v>
      </c>
      <c r="G148" s="355">
        <f t="shared" si="34"/>
        <v>4285.0500000000011</v>
      </c>
      <c r="H148" s="355">
        <f t="shared" si="35"/>
        <v>4081.0000000000005</v>
      </c>
      <c r="I148" s="356">
        <f t="shared" si="37"/>
        <v>4081.0000000000005</v>
      </c>
      <c r="J148" s="341"/>
      <c r="K148" s="359">
        <f t="shared" si="36"/>
        <v>3458.4745762711868</v>
      </c>
      <c r="M148">
        <v>2915.0000000000005</v>
      </c>
    </row>
    <row r="149" spans="1:13" ht="12.75" hidden="1" x14ac:dyDescent="0.2">
      <c r="A149" s="739"/>
      <c r="B149" s="337" t="s">
        <v>196</v>
      </c>
      <c r="C149" s="337" t="s">
        <v>3</v>
      </c>
      <c r="D149" s="338"/>
      <c r="E149" s="354">
        <f t="shared" si="32"/>
        <v>6879.5999999999995</v>
      </c>
      <c r="F149" s="355">
        <f t="shared" si="33"/>
        <v>5405.4000000000005</v>
      </c>
      <c r="G149" s="355">
        <f t="shared" si="34"/>
        <v>5159.7</v>
      </c>
      <c r="H149" s="355">
        <f t="shared" si="35"/>
        <v>4914</v>
      </c>
      <c r="I149" s="356">
        <f t="shared" si="37"/>
        <v>4914</v>
      </c>
      <c r="J149" s="341"/>
      <c r="K149" s="359">
        <f t="shared" si="36"/>
        <v>4164.406779661017</v>
      </c>
      <c r="M149">
        <v>3510</v>
      </c>
    </row>
    <row r="150" spans="1:13" ht="12.75" x14ac:dyDescent="0.2">
      <c r="A150" s="739"/>
      <c r="B150" s="337" t="s">
        <v>191</v>
      </c>
      <c r="C150" s="337" t="s">
        <v>4</v>
      </c>
      <c r="D150" s="338"/>
      <c r="E150" s="354">
        <f t="shared" si="32"/>
        <v>8408.4</v>
      </c>
      <c r="F150" s="355">
        <f t="shared" si="33"/>
        <v>6606.6</v>
      </c>
      <c r="G150" s="355">
        <f t="shared" si="34"/>
        <v>6306.3</v>
      </c>
      <c r="H150" s="355">
        <f t="shared" si="35"/>
        <v>6006</v>
      </c>
      <c r="I150" s="356">
        <f t="shared" si="37"/>
        <v>6006</v>
      </c>
      <c r="J150" s="341"/>
      <c r="K150" s="359">
        <f t="shared" si="36"/>
        <v>5089.8305084745762</v>
      </c>
      <c r="M150">
        <v>4290</v>
      </c>
    </row>
    <row r="151" spans="1:13" ht="12.75" hidden="1" x14ac:dyDescent="0.2">
      <c r="A151" s="739"/>
      <c r="B151" s="337" t="s">
        <v>197</v>
      </c>
      <c r="C151" s="337" t="s">
        <v>4</v>
      </c>
      <c r="D151" s="338"/>
      <c r="E151" s="354">
        <f t="shared" si="32"/>
        <v>10113.599999999999</v>
      </c>
      <c r="F151" s="355">
        <f t="shared" si="33"/>
        <v>7946.4</v>
      </c>
      <c r="G151" s="355">
        <f t="shared" si="34"/>
        <v>7585.2</v>
      </c>
      <c r="H151" s="355">
        <f t="shared" si="35"/>
        <v>7223.9999999999991</v>
      </c>
      <c r="I151" s="356">
        <f t="shared" si="37"/>
        <v>7223.9999999999991</v>
      </c>
      <c r="J151" s="341"/>
      <c r="K151" s="359">
        <f t="shared" si="36"/>
        <v>6122.0338983050842</v>
      </c>
      <c r="M151">
        <v>5160</v>
      </c>
    </row>
    <row r="152" spans="1:13" ht="12.75" x14ac:dyDescent="0.2">
      <c r="A152" s="739"/>
      <c r="B152" s="337" t="s">
        <v>192</v>
      </c>
      <c r="C152" s="337" t="s">
        <v>5</v>
      </c>
      <c r="D152" s="338"/>
      <c r="E152" s="354">
        <f t="shared" si="32"/>
        <v>9270.7999999999993</v>
      </c>
      <c r="F152" s="355">
        <f t="shared" si="33"/>
        <v>7284.2000000000007</v>
      </c>
      <c r="G152" s="355">
        <f t="shared" si="34"/>
        <v>6953.1</v>
      </c>
      <c r="H152" s="355">
        <f t="shared" si="35"/>
        <v>6622</v>
      </c>
      <c r="I152" s="356">
        <f t="shared" si="37"/>
        <v>6622</v>
      </c>
      <c r="J152" s="341"/>
      <c r="K152" s="359">
        <f t="shared" si="36"/>
        <v>5611.8644067796613</v>
      </c>
      <c r="M152">
        <v>4730</v>
      </c>
    </row>
    <row r="153" spans="1:13" ht="12.75" hidden="1" x14ac:dyDescent="0.2">
      <c r="A153" s="739"/>
      <c r="B153" s="337" t="s">
        <v>198</v>
      </c>
      <c r="C153" s="337" t="s">
        <v>5</v>
      </c>
      <c r="D153" s="338"/>
      <c r="E153" s="354">
        <f t="shared" si="32"/>
        <v>11171.999999999998</v>
      </c>
      <c r="F153" s="355">
        <f t="shared" si="33"/>
        <v>8778</v>
      </c>
      <c r="G153" s="355">
        <f t="shared" si="34"/>
        <v>8379</v>
      </c>
      <c r="H153" s="355">
        <f t="shared" si="35"/>
        <v>7979.9999999999991</v>
      </c>
      <c r="I153" s="356">
        <f t="shared" si="37"/>
        <v>7979.9999999999991</v>
      </c>
      <c r="J153" s="341"/>
      <c r="K153" s="359">
        <f t="shared" si="36"/>
        <v>6762.7118644067796</v>
      </c>
      <c r="M153">
        <v>5700</v>
      </c>
    </row>
    <row r="154" spans="1:13" ht="12.75" x14ac:dyDescent="0.2">
      <c r="A154" s="739"/>
      <c r="B154" s="337" t="s">
        <v>366</v>
      </c>
      <c r="C154" s="337" t="s">
        <v>75</v>
      </c>
      <c r="D154" s="338"/>
      <c r="E154" s="354">
        <f t="shared" si="32"/>
        <v>14014</v>
      </c>
      <c r="F154" s="355">
        <f t="shared" si="33"/>
        <v>11011</v>
      </c>
      <c r="G154" s="355">
        <f t="shared" si="34"/>
        <v>10510.5</v>
      </c>
      <c r="H154" s="355">
        <f t="shared" si="35"/>
        <v>10010</v>
      </c>
      <c r="I154" s="356">
        <f t="shared" si="37"/>
        <v>10010</v>
      </c>
      <c r="J154" s="341"/>
      <c r="K154" s="359">
        <f t="shared" si="36"/>
        <v>8483.0508474576272</v>
      </c>
      <c r="M154">
        <v>7150.0000000000009</v>
      </c>
    </row>
    <row r="155" spans="1:13" ht="12.75" hidden="1" x14ac:dyDescent="0.2">
      <c r="A155" s="739"/>
      <c r="B155" s="337" t="s">
        <v>367</v>
      </c>
      <c r="C155" s="337" t="s">
        <v>75</v>
      </c>
      <c r="D155" s="338"/>
      <c r="E155" s="354">
        <f t="shared" si="32"/>
        <v>16856</v>
      </c>
      <c r="F155" s="355">
        <f t="shared" si="33"/>
        <v>13244.000000000002</v>
      </c>
      <c r="G155" s="355">
        <f t="shared" si="34"/>
        <v>12642</v>
      </c>
      <c r="H155" s="355">
        <f t="shared" si="35"/>
        <v>12040</v>
      </c>
      <c r="I155" s="356">
        <f t="shared" si="37"/>
        <v>12040</v>
      </c>
      <c r="J155" s="341"/>
      <c r="K155" s="359">
        <f t="shared" si="36"/>
        <v>10203.389830508475</v>
      </c>
      <c r="M155">
        <v>8600</v>
      </c>
    </row>
    <row r="156" spans="1:13" ht="12.75" hidden="1" x14ac:dyDescent="0.2">
      <c r="A156" s="739"/>
      <c r="B156" s="337" t="s">
        <v>266</v>
      </c>
      <c r="C156" s="337" t="s">
        <v>89</v>
      </c>
      <c r="D156" s="338" t="s">
        <v>285</v>
      </c>
      <c r="E156" s="354">
        <f t="shared" si="32"/>
        <v>9781.7999999999993</v>
      </c>
      <c r="F156" s="355">
        <f t="shared" si="33"/>
        <v>7685.7000000000007</v>
      </c>
      <c r="G156" s="355">
        <f t="shared" si="34"/>
        <v>7336.35</v>
      </c>
      <c r="H156" s="355">
        <f t="shared" si="35"/>
        <v>6987</v>
      </c>
      <c r="I156" s="356">
        <f t="shared" si="37"/>
        <v>5782</v>
      </c>
      <c r="J156" s="341">
        <v>1205</v>
      </c>
      <c r="K156" s="359">
        <f t="shared" si="36"/>
        <v>5921.1864406779669</v>
      </c>
      <c r="M156">
        <v>4130</v>
      </c>
    </row>
    <row r="157" spans="1:13" ht="12.75" hidden="1" x14ac:dyDescent="0.2">
      <c r="A157" s="739"/>
      <c r="B157" s="337" t="s">
        <v>271</v>
      </c>
      <c r="C157" s="337" t="s">
        <v>89</v>
      </c>
      <c r="D157" s="338" t="s">
        <v>285</v>
      </c>
      <c r="E157" s="354">
        <f t="shared" si="32"/>
        <v>11875.08</v>
      </c>
      <c r="F157" s="355">
        <f t="shared" si="33"/>
        <v>9330.4200000000019</v>
      </c>
      <c r="G157" s="355">
        <f t="shared" si="34"/>
        <v>8906.3100000000013</v>
      </c>
      <c r="H157" s="355">
        <f t="shared" si="35"/>
        <v>8482.2000000000007</v>
      </c>
      <c r="I157" s="356">
        <f t="shared" si="37"/>
        <v>7277.2</v>
      </c>
      <c r="J157" s="341">
        <v>1205</v>
      </c>
      <c r="K157" s="359">
        <f t="shared" si="36"/>
        <v>7188.3050847457635</v>
      </c>
      <c r="M157">
        <v>5198</v>
      </c>
    </row>
    <row r="158" spans="1:13" ht="25.5" x14ac:dyDescent="0.2">
      <c r="A158" s="739"/>
      <c r="B158" s="337" t="s">
        <v>267</v>
      </c>
      <c r="C158" s="337" t="s">
        <v>90</v>
      </c>
      <c r="D158" s="338" t="s">
        <v>286</v>
      </c>
      <c r="E158" s="354">
        <f t="shared" si="32"/>
        <v>10390.799999999999</v>
      </c>
      <c r="F158" s="355">
        <f t="shared" si="33"/>
        <v>8164.2000000000007</v>
      </c>
      <c r="G158" s="355">
        <f t="shared" si="34"/>
        <v>7793.1</v>
      </c>
      <c r="H158" s="355">
        <f t="shared" si="35"/>
        <v>7422</v>
      </c>
      <c r="I158" s="356">
        <f t="shared" si="37"/>
        <v>6132</v>
      </c>
      <c r="J158" s="341">
        <v>1290</v>
      </c>
      <c r="K158" s="359">
        <f t="shared" si="36"/>
        <v>6289.8305084745762</v>
      </c>
      <c r="M158">
        <v>4380</v>
      </c>
    </row>
    <row r="159" spans="1:13" ht="25.5" hidden="1" x14ac:dyDescent="0.2">
      <c r="A159" s="739"/>
      <c r="B159" s="337" t="s">
        <v>272</v>
      </c>
      <c r="C159" s="337" t="s">
        <v>90</v>
      </c>
      <c r="D159" s="338" t="s">
        <v>286</v>
      </c>
      <c r="E159" s="354">
        <f t="shared" si="32"/>
        <v>12615.4</v>
      </c>
      <c r="F159" s="355">
        <f t="shared" si="33"/>
        <v>9912.1</v>
      </c>
      <c r="G159" s="355">
        <f t="shared" si="34"/>
        <v>9461.5500000000011</v>
      </c>
      <c r="H159" s="355">
        <f t="shared" si="35"/>
        <v>9011</v>
      </c>
      <c r="I159" s="356">
        <f t="shared" si="37"/>
        <v>7720.9999999999991</v>
      </c>
      <c r="J159" s="341">
        <v>1290</v>
      </c>
      <c r="K159" s="359">
        <f t="shared" si="36"/>
        <v>7636.4406779661022</v>
      </c>
      <c r="M159">
        <v>5515</v>
      </c>
    </row>
    <row r="160" spans="1:13" ht="25.5" x14ac:dyDescent="0.2">
      <c r="A160" s="739"/>
      <c r="B160" s="337" t="s">
        <v>268</v>
      </c>
      <c r="C160" s="337" t="s">
        <v>91</v>
      </c>
      <c r="D160" s="338" t="s">
        <v>287</v>
      </c>
      <c r="E160" s="354">
        <f t="shared" si="32"/>
        <v>13858.599999999999</v>
      </c>
      <c r="F160" s="355">
        <f t="shared" si="33"/>
        <v>10888.900000000001</v>
      </c>
      <c r="G160" s="355">
        <f t="shared" si="34"/>
        <v>10393.950000000001</v>
      </c>
      <c r="H160" s="355">
        <f t="shared" si="35"/>
        <v>9899</v>
      </c>
      <c r="I160" s="356">
        <f t="shared" si="37"/>
        <v>7510.9999999999991</v>
      </c>
      <c r="J160" s="341">
        <v>2388</v>
      </c>
      <c r="K160" s="359">
        <f t="shared" si="36"/>
        <v>8388.9830508474588</v>
      </c>
      <c r="M160">
        <v>5365</v>
      </c>
    </row>
    <row r="161" spans="1:13" ht="25.5" hidden="1" x14ac:dyDescent="0.2">
      <c r="A161" s="739"/>
      <c r="B161" s="337" t="s">
        <v>273</v>
      </c>
      <c r="C161" s="337" t="s">
        <v>91</v>
      </c>
      <c r="D161" s="338" t="s">
        <v>287</v>
      </c>
      <c r="E161" s="354">
        <f t="shared" si="32"/>
        <v>16906.399999999998</v>
      </c>
      <c r="F161" s="355">
        <f t="shared" si="33"/>
        <v>13283.6</v>
      </c>
      <c r="G161" s="355">
        <f t="shared" si="34"/>
        <v>12679.800000000001</v>
      </c>
      <c r="H161" s="355">
        <f t="shared" si="35"/>
        <v>12076</v>
      </c>
      <c r="I161" s="356">
        <f t="shared" si="37"/>
        <v>9688</v>
      </c>
      <c r="J161" s="341">
        <v>2388</v>
      </c>
      <c r="K161" s="359">
        <f t="shared" si="36"/>
        <v>10233.898305084746</v>
      </c>
      <c r="M161">
        <v>6920</v>
      </c>
    </row>
    <row r="162" spans="1:13" ht="25.5" x14ac:dyDescent="0.2">
      <c r="A162" s="739"/>
      <c r="B162" s="337" t="s">
        <v>269</v>
      </c>
      <c r="C162" s="337" t="s">
        <v>87</v>
      </c>
      <c r="D162" s="338" t="s">
        <v>288</v>
      </c>
      <c r="E162" s="354">
        <f t="shared" si="32"/>
        <v>17270.96</v>
      </c>
      <c r="F162" s="355">
        <f t="shared" si="33"/>
        <v>13570.04</v>
      </c>
      <c r="G162" s="355">
        <f t="shared" si="34"/>
        <v>12953.22</v>
      </c>
      <c r="H162" s="355">
        <f t="shared" si="35"/>
        <v>12336.4</v>
      </c>
      <c r="I162" s="356">
        <f t="shared" si="37"/>
        <v>9640.4</v>
      </c>
      <c r="J162" s="341">
        <v>2696</v>
      </c>
      <c r="K162" s="359">
        <f t="shared" si="36"/>
        <v>10454.576271186441</v>
      </c>
      <c r="M162">
        <v>6886</v>
      </c>
    </row>
    <row r="163" spans="1:13" ht="25.5" hidden="1" x14ac:dyDescent="0.2">
      <c r="A163" s="739"/>
      <c r="B163" s="337" t="s">
        <v>274</v>
      </c>
      <c r="C163" s="337" t="s">
        <v>87</v>
      </c>
      <c r="D163" s="338" t="s">
        <v>288</v>
      </c>
      <c r="E163" s="354">
        <f t="shared" si="32"/>
        <v>21014.559999999998</v>
      </c>
      <c r="F163" s="355">
        <f t="shared" si="33"/>
        <v>16511.440000000002</v>
      </c>
      <c r="G163" s="355">
        <f t="shared" si="34"/>
        <v>15760.92</v>
      </c>
      <c r="H163" s="355">
        <f t="shared" si="35"/>
        <v>15010.4</v>
      </c>
      <c r="I163" s="356">
        <f t="shared" si="37"/>
        <v>12314.4</v>
      </c>
      <c r="J163" s="341">
        <v>2696</v>
      </c>
      <c r="K163" s="359">
        <f t="shared" si="36"/>
        <v>12720.677966101695</v>
      </c>
      <c r="M163">
        <v>8796</v>
      </c>
    </row>
    <row r="164" spans="1:13" ht="12.75" x14ac:dyDescent="0.2">
      <c r="A164" s="739"/>
      <c r="B164" s="337" t="s">
        <v>270</v>
      </c>
      <c r="C164" s="337" t="s">
        <v>88</v>
      </c>
      <c r="D164" s="338" t="s">
        <v>289</v>
      </c>
      <c r="E164" s="354">
        <f t="shared" si="32"/>
        <v>26382.216</v>
      </c>
      <c r="F164" s="355">
        <f t="shared" si="33"/>
        <v>20728.884000000005</v>
      </c>
      <c r="G164" s="355">
        <f t="shared" si="34"/>
        <v>19786.662000000004</v>
      </c>
      <c r="H164" s="355">
        <f t="shared" si="35"/>
        <v>18844.440000000002</v>
      </c>
      <c r="I164" s="356">
        <f t="shared" si="37"/>
        <v>10999.800000000001</v>
      </c>
      <c r="J164" s="341">
        <v>7844.64</v>
      </c>
      <c r="K164" s="359">
        <f t="shared" si="36"/>
        <v>15969.864406779663</v>
      </c>
      <c r="M164">
        <v>7857.0000000000018</v>
      </c>
    </row>
    <row r="165" spans="1:13" ht="12.75" hidden="1" x14ac:dyDescent="0.2">
      <c r="A165" s="742"/>
      <c r="B165" s="337" t="s">
        <v>275</v>
      </c>
      <c r="C165" s="337" t="s">
        <v>88</v>
      </c>
      <c r="D165" s="338" t="s">
        <v>289</v>
      </c>
      <c r="E165" s="354">
        <f t="shared" si="32"/>
        <v>32399.415999999997</v>
      </c>
      <c r="F165" s="355">
        <f t="shared" si="33"/>
        <v>25456.684000000001</v>
      </c>
      <c r="G165" s="355">
        <f t="shared" si="34"/>
        <v>24299.561999999998</v>
      </c>
      <c r="H165" s="355">
        <f t="shared" si="35"/>
        <v>23142.44</v>
      </c>
      <c r="I165" s="356">
        <f t="shared" si="37"/>
        <v>15297.8</v>
      </c>
      <c r="J165" s="341">
        <v>7844.64</v>
      </c>
      <c r="K165" s="359">
        <f t="shared" si="36"/>
        <v>19612.237288135591</v>
      </c>
      <c r="M165">
        <v>10927</v>
      </c>
    </row>
    <row r="166" spans="1:13" ht="12.75" x14ac:dyDescent="0.2">
      <c r="A166" s="741" t="s">
        <v>145</v>
      </c>
      <c r="B166" s="337" t="s">
        <v>513</v>
      </c>
      <c r="C166" s="337" t="s">
        <v>13</v>
      </c>
      <c r="D166" s="338"/>
      <c r="E166" s="354">
        <f t="shared" si="32"/>
        <v>5717.2500000000009</v>
      </c>
      <c r="F166" s="355">
        <f t="shared" si="33"/>
        <v>4492.1250000000009</v>
      </c>
      <c r="G166" s="355">
        <f t="shared" si="34"/>
        <v>4287.9375000000009</v>
      </c>
      <c r="H166" s="355">
        <f t="shared" si="35"/>
        <v>4083.7500000000009</v>
      </c>
      <c r="I166" s="356">
        <f>M166*1.35</f>
        <v>4083.7500000000009</v>
      </c>
      <c r="J166" s="341"/>
      <c r="K166" s="359">
        <f t="shared" si="36"/>
        <v>3460.8050847457635</v>
      </c>
      <c r="M166">
        <v>3025.0000000000005</v>
      </c>
    </row>
    <row r="167" spans="1:13" ht="12.75" x14ac:dyDescent="0.2">
      <c r="A167" s="739"/>
      <c r="B167" s="337" t="s">
        <v>514</v>
      </c>
      <c r="C167" s="337" t="s">
        <v>75</v>
      </c>
      <c r="D167" s="338"/>
      <c r="E167" s="354">
        <f t="shared" si="32"/>
        <v>10810.800000000001</v>
      </c>
      <c r="F167" s="355">
        <f t="shared" si="33"/>
        <v>8494.2000000000025</v>
      </c>
      <c r="G167" s="355">
        <f t="shared" si="34"/>
        <v>8108.1000000000022</v>
      </c>
      <c r="H167" s="355">
        <f t="shared" si="35"/>
        <v>7722.0000000000018</v>
      </c>
      <c r="I167" s="356">
        <f>M167*1.35</f>
        <v>7722.0000000000018</v>
      </c>
      <c r="J167" s="341"/>
      <c r="K167" s="359">
        <f t="shared" si="36"/>
        <v>6544.0677966101712</v>
      </c>
      <c r="M167">
        <v>5720.0000000000009</v>
      </c>
    </row>
    <row r="168" spans="1:13" ht="12.75" x14ac:dyDescent="0.2">
      <c r="A168" s="742"/>
      <c r="B168" s="337" t="s">
        <v>515</v>
      </c>
      <c r="C168" s="337" t="s">
        <v>92</v>
      </c>
      <c r="D168" s="338" t="s">
        <v>291</v>
      </c>
      <c r="E168" s="354">
        <f t="shared" si="32"/>
        <v>7831.46</v>
      </c>
      <c r="F168" s="355">
        <f t="shared" si="33"/>
        <v>6153.2900000000009</v>
      </c>
      <c r="G168" s="355">
        <f t="shared" si="34"/>
        <v>5873.5950000000012</v>
      </c>
      <c r="H168" s="355">
        <f t="shared" si="35"/>
        <v>5593.9000000000005</v>
      </c>
      <c r="I168" s="356">
        <f>M168*1.35</f>
        <v>4392.9000000000005</v>
      </c>
      <c r="J168" s="341">
        <v>1201</v>
      </c>
      <c r="K168" s="359">
        <f t="shared" si="36"/>
        <v>4740.5932203389839</v>
      </c>
      <c r="M168">
        <v>3254</v>
      </c>
    </row>
    <row r="169" spans="1:13" ht="18" x14ac:dyDescent="0.25">
      <c r="A169" s="732" t="s">
        <v>601</v>
      </c>
      <c r="B169" s="733"/>
      <c r="C169" s="733"/>
      <c r="D169" s="733"/>
      <c r="E169" s="733"/>
      <c r="F169" s="733"/>
      <c r="G169" s="733"/>
      <c r="H169" s="733"/>
      <c r="I169" s="733"/>
      <c r="J169" s="733"/>
      <c r="K169" s="734"/>
    </row>
    <row r="170" spans="1:13" x14ac:dyDescent="0.25">
      <c r="A170" s="395" t="s">
        <v>151</v>
      </c>
      <c r="B170" s="337" t="s">
        <v>22</v>
      </c>
      <c r="C170" s="337" t="s">
        <v>166</v>
      </c>
      <c r="D170" s="338"/>
      <c r="E170" s="354">
        <f t="shared" ref="E170:E183" si="38">H170*1.4</f>
        <v>1001.6999999999999</v>
      </c>
      <c r="F170" s="355">
        <f t="shared" ref="F170:F183" si="39">H170*1.1</f>
        <v>787.05000000000007</v>
      </c>
      <c r="G170" s="355">
        <f t="shared" ref="G170:G183" si="40">H170*1.05</f>
        <v>751.27499999999998</v>
      </c>
      <c r="H170" s="355">
        <f t="shared" ref="H170:H183" si="41">I170+J170</f>
        <v>715.5</v>
      </c>
      <c r="I170" s="356">
        <f>M170*1.35</f>
        <v>715.5</v>
      </c>
      <c r="J170" s="341"/>
      <c r="K170" s="359">
        <f t="shared" ref="K170:K183" si="42">H170/1.18</f>
        <v>606.3559322033899</v>
      </c>
      <c r="M170">
        <v>530</v>
      </c>
    </row>
    <row r="171" spans="1:13" x14ac:dyDescent="0.25">
      <c r="A171" s="395" t="s">
        <v>152</v>
      </c>
      <c r="B171" s="337" t="s">
        <v>27</v>
      </c>
      <c r="C171" s="337" t="s">
        <v>166</v>
      </c>
      <c r="D171" s="338"/>
      <c r="E171" s="354">
        <f t="shared" si="38"/>
        <v>1001.6999999999999</v>
      </c>
      <c r="F171" s="355">
        <f t="shared" si="39"/>
        <v>787.05000000000007</v>
      </c>
      <c r="G171" s="355">
        <f t="shared" si="40"/>
        <v>751.27499999999998</v>
      </c>
      <c r="H171" s="355">
        <f t="shared" si="41"/>
        <v>715.5</v>
      </c>
      <c r="I171" s="356">
        <f>M171*1.35</f>
        <v>715.5</v>
      </c>
      <c r="J171" s="341"/>
      <c r="K171" s="359">
        <f t="shared" si="42"/>
        <v>606.3559322033899</v>
      </c>
      <c r="M171">
        <v>530</v>
      </c>
    </row>
    <row r="172" spans="1:13" s="342" customFormat="1" ht="15.75" customHeight="1" x14ac:dyDescent="0.2">
      <c r="A172" s="741" t="s">
        <v>541</v>
      </c>
      <c r="B172" s="344" t="s">
        <v>625</v>
      </c>
      <c r="C172" s="344" t="s">
        <v>627</v>
      </c>
      <c r="D172" s="404"/>
      <c r="E172" s="360">
        <f t="shared" si="38"/>
        <v>0</v>
      </c>
      <c r="F172" s="359">
        <f t="shared" si="39"/>
        <v>0</v>
      </c>
      <c r="G172" s="359">
        <f t="shared" si="40"/>
        <v>0</v>
      </c>
      <c r="H172" s="359">
        <f t="shared" si="41"/>
        <v>0</v>
      </c>
      <c r="I172" s="356">
        <v>0</v>
      </c>
      <c r="J172" s="341"/>
      <c r="K172" s="359">
        <f t="shared" si="42"/>
        <v>0</v>
      </c>
    </row>
    <row r="173" spans="1:13" s="342" customFormat="1" ht="13.5" thickBot="1" x14ac:dyDescent="0.25">
      <c r="A173" s="739"/>
      <c r="B173" s="384" t="s">
        <v>626</v>
      </c>
      <c r="C173" s="384" t="s">
        <v>104</v>
      </c>
      <c r="D173" s="405" t="s">
        <v>628</v>
      </c>
      <c r="E173" s="386">
        <f t="shared" si="38"/>
        <v>1526</v>
      </c>
      <c r="F173" s="374">
        <f t="shared" si="39"/>
        <v>1199</v>
      </c>
      <c r="G173" s="374">
        <f t="shared" si="40"/>
        <v>1144.5</v>
      </c>
      <c r="H173" s="374">
        <f t="shared" si="41"/>
        <v>1090</v>
      </c>
      <c r="I173" s="372">
        <v>0</v>
      </c>
      <c r="J173" s="373">
        <v>1090</v>
      </c>
      <c r="K173" s="374">
        <f t="shared" si="42"/>
        <v>923.72881355932213</v>
      </c>
    </row>
    <row r="174" spans="1:13" ht="13.5" thickTop="1" x14ac:dyDescent="0.2">
      <c r="A174" s="739"/>
      <c r="B174" s="337" t="s">
        <v>539</v>
      </c>
      <c r="C174" s="337" t="s">
        <v>62</v>
      </c>
      <c r="D174" s="404"/>
      <c r="E174" s="354">
        <f t="shared" si="38"/>
        <v>3010</v>
      </c>
      <c r="F174" s="355">
        <f t="shared" si="39"/>
        <v>2365</v>
      </c>
      <c r="G174" s="355">
        <f t="shared" si="40"/>
        <v>2257.5</v>
      </c>
      <c r="H174" s="355">
        <f t="shared" si="41"/>
        <v>2150</v>
      </c>
      <c r="I174" s="356">
        <v>2150</v>
      </c>
      <c r="J174" s="341"/>
      <c r="K174" s="359">
        <f t="shared" si="42"/>
        <v>1822.0338983050849</v>
      </c>
    </row>
    <row r="175" spans="1:13" ht="13.5" thickBot="1" x14ac:dyDescent="0.25">
      <c r="A175" s="739"/>
      <c r="B175" s="368" t="s">
        <v>540</v>
      </c>
      <c r="C175" s="368" t="s">
        <v>104</v>
      </c>
      <c r="D175" s="405" t="s">
        <v>285</v>
      </c>
      <c r="E175" s="370">
        <f t="shared" si="38"/>
        <v>4123</v>
      </c>
      <c r="F175" s="371">
        <f t="shared" si="39"/>
        <v>3239.5000000000005</v>
      </c>
      <c r="G175" s="371">
        <f t="shared" si="40"/>
        <v>3092.25</v>
      </c>
      <c r="H175" s="371">
        <f t="shared" si="41"/>
        <v>2945</v>
      </c>
      <c r="I175" s="372">
        <v>1740</v>
      </c>
      <c r="J175" s="373">
        <v>1205</v>
      </c>
      <c r="K175" s="374">
        <f t="shared" si="42"/>
        <v>2495.7627118644068</v>
      </c>
    </row>
    <row r="176" spans="1:13" s="342" customFormat="1" ht="13.5" customHeight="1" thickTop="1" x14ac:dyDescent="0.2">
      <c r="A176" s="739"/>
      <c r="B176" s="344" t="s">
        <v>629</v>
      </c>
      <c r="C176" s="344" t="s">
        <v>62</v>
      </c>
      <c r="D176" s="404"/>
      <c r="E176" s="360">
        <f t="shared" si="38"/>
        <v>0</v>
      </c>
      <c r="F176" s="359">
        <f t="shared" si="39"/>
        <v>0</v>
      </c>
      <c r="G176" s="359">
        <f t="shared" si="40"/>
        <v>0</v>
      </c>
      <c r="H176" s="359">
        <f t="shared" si="41"/>
        <v>0</v>
      </c>
      <c r="I176" s="356">
        <v>0</v>
      </c>
      <c r="J176" s="341"/>
      <c r="K176" s="359">
        <f t="shared" si="42"/>
        <v>0</v>
      </c>
      <c r="L176" s="342" t="s">
        <v>299</v>
      </c>
      <c r="M176" s="342">
        <v>2650</v>
      </c>
    </row>
    <row r="177" spans="1:13" s="342" customFormat="1" ht="13.5" customHeight="1" thickBot="1" x14ac:dyDescent="0.25">
      <c r="A177" s="740"/>
      <c r="B177" s="384" t="s">
        <v>630</v>
      </c>
      <c r="C177" s="368" t="s">
        <v>106</v>
      </c>
      <c r="D177" s="405" t="s">
        <v>292</v>
      </c>
      <c r="E177" s="386">
        <f t="shared" si="38"/>
        <v>2181.1999999999998</v>
      </c>
      <c r="F177" s="374">
        <f t="shared" si="39"/>
        <v>1713.8000000000002</v>
      </c>
      <c r="G177" s="374">
        <f t="shared" si="40"/>
        <v>1635.9</v>
      </c>
      <c r="H177" s="374">
        <f t="shared" si="41"/>
        <v>1558</v>
      </c>
      <c r="I177" s="372">
        <v>0</v>
      </c>
      <c r="J177" s="373">
        <v>1558</v>
      </c>
      <c r="K177" s="374">
        <f t="shared" si="42"/>
        <v>1320.3389830508474</v>
      </c>
      <c r="L177" s="342" t="s">
        <v>299</v>
      </c>
      <c r="M177" s="342">
        <v>2200</v>
      </c>
    </row>
    <row r="178" spans="1:13" s="342" customFormat="1" ht="13.5" customHeight="1" thickTop="1" x14ac:dyDescent="0.25">
      <c r="A178" s="387"/>
      <c r="B178" s="361" t="s">
        <v>641</v>
      </c>
      <c r="C178" s="361" t="s">
        <v>62</v>
      </c>
      <c r="D178" s="406"/>
      <c r="E178" s="363">
        <f t="shared" si="38"/>
        <v>4143.8249999999998</v>
      </c>
      <c r="F178" s="364">
        <f t="shared" si="39"/>
        <v>3255.8625000000002</v>
      </c>
      <c r="G178" s="364">
        <f t="shared" si="40"/>
        <v>3107.8687500000001</v>
      </c>
      <c r="H178" s="364">
        <f t="shared" si="41"/>
        <v>2959.875</v>
      </c>
      <c r="I178" s="365">
        <f>M180*1.35</f>
        <v>2959.875</v>
      </c>
      <c r="J178" s="366"/>
      <c r="K178" s="367">
        <f t="shared" si="42"/>
        <v>2508.3686440677966</v>
      </c>
    </row>
    <row r="179" spans="1:13" s="342" customFormat="1" ht="13.5" customHeight="1" thickBot="1" x14ac:dyDescent="0.3">
      <c r="A179" s="387"/>
      <c r="B179" s="368" t="s">
        <v>493</v>
      </c>
      <c r="C179" s="368" t="s">
        <v>104</v>
      </c>
      <c r="D179" s="405" t="s">
        <v>285</v>
      </c>
      <c r="E179" s="370">
        <f t="shared" si="38"/>
        <v>5372.5</v>
      </c>
      <c r="F179" s="371">
        <f t="shared" si="39"/>
        <v>4221.25</v>
      </c>
      <c r="G179" s="371">
        <f t="shared" si="40"/>
        <v>4029.375</v>
      </c>
      <c r="H179" s="371">
        <f t="shared" si="41"/>
        <v>3837.5</v>
      </c>
      <c r="I179" s="372">
        <f>M181*1.35</f>
        <v>2632.5</v>
      </c>
      <c r="J179" s="373">
        <v>1205</v>
      </c>
      <c r="K179" s="374">
        <f t="shared" si="42"/>
        <v>3252.1186440677966</v>
      </c>
    </row>
    <row r="180" spans="1:13" s="342" customFormat="1" ht="13.5" thickTop="1" x14ac:dyDescent="0.2">
      <c r="A180" s="731" t="s">
        <v>154</v>
      </c>
      <c r="B180" s="388" t="s">
        <v>640</v>
      </c>
      <c r="C180" s="388" t="s">
        <v>638</v>
      </c>
      <c r="D180" s="406"/>
      <c r="E180" s="390">
        <f t="shared" si="38"/>
        <v>0</v>
      </c>
      <c r="F180" s="367">
        <f t="shared" si="39"/>
        <v>0</v>
      </c>
      <c r="G180" s="367">
        <f t="shared" si="40"/>
        <v>0</v>
      </c>
      <c r="H180" s="367">
        <f t="shared" si="41"/>
        <v>0</v>
      </c>
      <c r="I180" s="365">
        <f>M182*1.35</f>
        <v>0</v>
      </c>
      <c r="J180" s="366"/>
      <c r="K180" s="367">
        <f t="shared" si="42"/>
        <v>0</v>
      </c>
      <c r="M180" s="342">
        <v>2192.5</v>
      </c>
    </row>
    <row r="181" spans="1:13" s="342" customFormat="1" ht="13.5" thickBot="1" x14ac:dyDescent="0.25">
      <c r="A181" s="743"/>
      <c r="B181" s="384" t="s">
        <v>639</v>
      </c>
      <c r="C181" s="384" t="s">
        <v>115</v>
      </c>
      <c r="D181" s="405" t="s">
        <v>292</v>
      </c>
      <c r="E181" s="386">
        <f t="shared" si="38"/>
        <v>2181.1999999999998</v>
      </c>
      <c r="F181" s="374">
        <f t="shared" si="39"/>
        <v>1713.8000000000002</v>
      </c>
      <c r="G181" s="374">
        <f t="shared" si="40"/>
        <v>1635.9</v>
      </c>
      <c r="H181" s="374">
        <f t="shared" si="41"/>
        <v>1558</v>
      </c>
      <c r="I181" s="372">
        <f>M183*1.35</f>
        <v>0</v>
      </c>
      <c r="J181" s="373">
        <v>1558</v>
      </c>
      <c r="K181" s="374">
        <f t="shared" si="42"/>
        <v>1320.3389830508474</v>
      </c>
      <c r="M181" s="342">
        <v>1950</v>
      </c>
    </row>
    <row r="182" spans="1:13" s="342" customFormat="1" ht="16.5" customHeight="1" thickTop="1" x14ac:dyDescent="0.2">
      <c r="A182" s="738" t="s">
        <v>156</v>
      </c>
      <c r="B182" s="391" t="s">
        <v>631</v>
      </c>
      <c r="C182" s="391" t="s">
        <v>632</v>
      </c>
      <c r="D182" s="407"/>
      <c r="E182" s="392">
        <f t="shared" si="38"/>
        <v>0</v>
      </c>
      <c r="F182" s="382">
        <f t="shared" si="39"/>
        <v>0</v>
      </c>
      <c r="G182" s="382">
        <f t="shared" si="40"/>
        <v>0</v>
      </c>
      <c r="H182" s="382">
        <f t="shared" si="41"/>
        <v>0</v>
      </c>
      <c r="I182" s="380">
        <f>M182*1.35</f>
        <v>0</v>
      </c>
      <c r="J182" s="381"/>
      <c r="K182" s="382">
        <f t="shared" si="42"/>
        <v>0</v>
      </c>
    </row>
    <row r="183" spans="1:13" s="342" customFormat="1" ht="13.5" customHeight="1" thickBot="1" x14ac:dyDescent="0.25">
      <c r="A183" s="739"/>
      <c r="B183" s="384" t="s">
        <v>634</v>
      </c>
      <c r="C183" s="384" t="s">
        <v>633</v>
      </c>
      <c r="D183" s="405" t="s">
        <v>628</v>
      </c>
      <c r="E183" s="390">
        <f t="shared" si="38"/>
        <v>0</v>
      </c>
      <c r="F183" s="367">
        <f t="shared" si="39"/>
        <v>0</v>
      </c>
      <c r="G183" s="367">
        <f t="shared" si="40"/>
        <v>0</v>
      </c>
      <c r="H183" s="367">
        <f t="shared" si="41"/>
        <v>0</v>
      </c>
      <c r="I183" s="365">
        <f>M183*1.35</f>
        <v>0</v>
      </c>
      <c r="J183" s="366"/>
      <c r="K183" s="367">
        <f t="shared" si="42"/>
        <v>0</v>
      </c>
    </row>
    <row r="184" spans="1:13" ht="12.75" customHeight="1" thickTop="1" x14ac:dyDescent="0.2">
      <c r="A184" s="739"/>
      <c r="B184" s="361" t="s">
        <v>31</v>
      </c>
      <c r="C184" s="361" t="s">
        <v>65</v>
      </c>
      <c r="D184" s="406"/>
      <c r="E184" s="363">
        <f t="shared" ref="E184:E197" si="43">H184*1.4</f>
        <v>1426.95</v>
      </c>
      <c r="F184" s="364">
        <f t="shared" ref="F184:F197" si="44">H184*1.1</f>
        <v>1121.1750000000002</v>
      </c>
      <c r="G184" s="364">
        <f t="shared" ref="G184:G197" si="45">H184*1.05</f>
        <v>1070.2125000000001</v>
      </c>
      <c r="H184" s="364">
        <f t="shared" ref="H184:H197" si="46">I184+J184</f>
        <v>1019.2500000000001</v>
      </c>
      <c r="I184" s="365">
        <f t="shared" ref="I184:I197" si="47">M184*1.35</f>
        <v>1019.2500000000001</v>
      </c>
      <c r="J184" s="366"/>
      <c r="K184" s="367">
        <f t="shared" ref="K184:K197" si="48">H184/1.18</f>
        <v>863.77118644067809</v>
      </c>
      <c r="M184">
        <v>755</v>
      </c>
    </row>
    <row r="185" spans="1:13" ht="13.5" customHeight="1" thickBot="1" x14ac:dyDescent="0.25">
      <c r="A185" s="739"/>
      <c r="B185" s="368" t="s">
        <v>495</v>
      </c>
      <c r="C185" s="368" t="s">
        <v>105</v>
      </c>
      <c r="D185" s="369" t="s">
        <v>291</v>
      </c>
      <c r="E185" s="370">
        <f>H185*1.4</f>
        <v>3881.3599999999997</v>
      </c>
      <c r="F185" s="371">
        <f>H185*1.1</f>
        <v>3049.6400000000003</v>
      </c>
      <c r="G185" s="371">
        <f>H185*1.05</f>
        <v>2911.0200000000004</v>
      </c>
      <c r="H185" s="371">
        <f>I185+J185</f>
        <v>2772.4</v>
      </c>
      <c r="I185" s="372">
        <f>M185*1.35</f>
        <v>1571.4</v>
      </c>
      <c r="J185" s="373">
        <v>1201</v>
      </c>
      <c r="K185" s="374">
        <f>H185/1.18</f>
        <v>2349.4915254237289</v>
      </c>
      <c r="M185">
        <v>1164</v>
      </c>
    </row>
    <row r="186" spans="1:13" ht="12.75" customHeight="1" thickTop="1" thickBot="1" x14ac:dyDescent="0.25">
      <c r="A186" s="740"/>
      <c r="B186" s="368" t="s">
        <v>494</v>
      </c>
      <c r="C186" s="368" t="s">
        <v>86</v>
      </c>
      <c r="D186" s="369"/>
      <c r="E186" s="370">
        <f t="shared" si="43"/>
        <v>2286.8999999999996</v>
      </c>
      <c r="F186" s="371">
        <f t="shared" si="44"/>
        <v>1796.8500000000001</v>
      </c>
      <c r="G186" s="371">
        <f t="shared" si="45"/>
        <v>1715.1750000000002</v>
      </c>
      <c r="H186" s="371">
        <f t="shared" si="46"/>
        <v>1633.5</v>
      </c>
      <c r="I186" s="372">
        <f t="shared" si="47"/>
        <v>1633.5</v>
      </c>
      <c r="J186" s="373"/>
      <c r="K186" s="374">
        <f t="shared" si="48"/>
        <v>1384.3220338983051</v>
      </c>
      <c r="M186">
        <v>1210</v>
      </c>
    </row>
    <row r="187" spans="1:13" ht="13.5" thickTop="1" x14ac:dyDescent="0.2">
      <c r="A187" s="739" t="s">
        <v>460</v>
      </c>
      <c r="B187" s="361" t="s">
        <v>496</v>
      </c>
      <c r="C187" s="361" t="s">
        <v>66</v>
      </c>
      <c r="D187" s="362"/>
      <c r="E187" s="363">
        <f t="shared" si="43"/>
        <v>3798.8999999999996</v>
      </c>
      <c r="F187" s="364">
        <f t="shared" si="44"/>
        <v>2984.8500000000004</v>
      </c>
      <c r="G187" s="364">
        <f t="shared" si="45"/>
        <v>2849.1750000000002</v>
      </c>
      <c r="H187" s="364">
        <f t="shared" si="46"/>
        <v>2713.5</v>
      </c>
      <c r="I187" s="365">
        <f t="shared" si="47"/>
        <v>2713.5</v>
      </c>
      <c r="J187" s="366"/>
      <c r="K187" s="367">
        <f t="shared" si="48"/>
        <v>2299.5762711864409</v>
      </c>
      <c r="M187">
        <v>2010</v>
      </c>
    </row>
    <row r="188" spans="1:13" ht="13.5" thickBot="1" x14ac:dyDescent="0.25">
      <c r="A188" s="740"/>
      <c r="B188" s="368" t="s">
        <v>497</v>
      </c>
      <c r="C188" s="368" t="s">
        <v>106</v>
      </c>
      <c r="D188" s="369" t="s">
        <v>292</v>
      </c>
      <c r="E188" s="370">
        <f t="shared" si="43"/>
        <v>7686.7699999999995</v>
      </c>
      <c r="F188" s="371">
        <f t="shared" si="44"/>
        <v>6039.6050000000005</v>
      </c>
      <c r="G188" s="371">
        <f t="shared" si="45"/>
        <v>5765.0775000000003</v>
      </c>
      <c r="H188" s="371">
        <f t="shared" si="46"/>
        <v>5490.55</v>
      </c>
      <c r="I188" s="372">
        <f t="shared" si="47"/>
        <v>3932.55</v>
      </c>
      <c r="J188" s="373">
        <v>1558</v>
      </c>
      <c r="K188" s="374">
        <f t="shared" si="48"/>
        <v>4653.0084745762715</v>
      </c>
      <c r="M188">
        <v>2913</v>
      </c>
    </row>
    <row r="189" spans="1:13" ht="13.5" thickTop="1" x14ac:dyDescent="0.2">
      <c r="A189" s="739" t="s">
        <v>157</v>
      </c>
      <c r="B189" s="361" t="s">
        <v>411</v>
      </c>
      <c r="C189" s="361" t="s">
        <v>67</v>
      </c>
      <c r="D189" s="362"/>
      <c r="E189" s="363">
        <f t="shared" si="43"/>
        <v>3798.8999999999996</v>
      </c>
      <c r="F189" s="364">
        <f t="shared" si="44"/>
        <v>2984.8500000000004</v>
      </c>
      <c r="G189" s="364">
        <f t="shared" si="45"/>
        <v>2849.1750000000002</v>
      </c>
      <c r="H189" s="364">
        <f t="shared" si="46"/>
        <v>2713.5</v>
      </c>
      <c r="I189" s="365">
        <f t="shared" si="47"/>
        <v>2713.5</v>
      </c>
      <c r="J189" s="366"/>
      <c r="K189" s="367">
        <f t="shared" si="48"/>
        <v>2299.5762711864409</v>
      </c>
      <c r="M189">
        <v>2010</v>
      </c>
    </row>
    <row r="190" spans="1:13" ht="12.75" x14ac:dyDescent="0.2">
      <c r="A190" s="739"/>
      <c r="B190" s="337" t="s">
        <v>412</v>
      </c>
      <c r="C190" s="337" t="s">
        <v>68</v>
      </c>
      <c r="D190" s="338"/>
      <c r="E190" s="354">
        <f t="shared" si="43"/>
        <v>4091.85</v>
      </c>
      <c r="F190" s="355">
        <f t="shared" si="44"/>
        <v>3215.0250000000001</v>
      </c>
      <c r="G190" s="355">
        <f t="shared" si="45"/>
        <v>3068.8875000000003</v>
      </c>
      <c r="H190" s="355">
        <f t="shared" si="46"/>
        <v>2922.75</v>
      </c>
      <c r="I190" s="356">
        <f t="shared" si="47"/>
        <v>2922.75</v>
      </c>
      <c r="J190" s="341"/>
      <c r="K190" s="359">
        <f t="shared" si="48"/>
        <v>2476.906779661017</v>
      </c>
      <c r="M190">
        <v>2165</v>
      </c>
    </row>
    <row r="191" spans="1:13" ht="12.75" x14ac:dyDescent="0.2">
      <c r="A191" s="739"/>
      <c r="B191" s="337" t="s">
        <v>413</v>
      </c>
      <c r="C191" s="337" t="s">
        <v>69</v>
      </c>
      <c r="D191" s="338"/>
      <c r="E191" s="354">
        <f t="shared" si="43"/>
        <v>4347</v>
      </c>
      <c r="F191" s="355">
        <f t="shared" si="44"/>
        <v>3415.5000000000005</v>
      </c>
      <c r="G191" s="355">
        <f t="shared" si="45"/>
        <v>3260.25</v>
      </c>
      <c r="H191" s="355">
        <f t="shared" si="46"/>
        <v>3105</v>
      </c>
      <c r="I191" s="356">
        <f t="shared" si="47"/>
        <v>3105</v>
      </c>
      <c r="J191" s="341"/>
      <c r="K191" s="359">
        <f t="shared" si="48"/>
        <v>2631.3559322033898</v>
      </c>
      <c r="M191">
        <v>2300</v>
      </c>
    </row>
    <row r="192" spans="1:13" ht="12.75" x14ac:dyDescent="0.2">
      <c r="A192" s="739"/>
      <c r="B192" s="337" t="s">
        <v>414</v>
      </c>
      <c r="C192" s="337" t="s">
        <v>84</v>
      </c>
      <c r="D192" s="338"/>
      <c r="E192" s="354">
        <f t="shared" si="43"/>
        <v>7692.3000000000011</v>
      </c>
      <c r="F192" s="355">
        <f t="shared" si="44"/>
        <v>6043.9500000000016</v>
      </c>
      <c r="G192" s="355">
        <f t="shared" si="45"/>
        <v>5769.2250000000013</v>
      </c>
      <c r="H192" s="355">
        <f t="shared" si="46"/>
        <v>5494.5000000000009</v>
      </c>
      <c r="I192" s="356">
        <f t="shared" si="47"/>
        <v>5494.5000000000009</v>
      </c>
      <c r="J192" s="341"/>
      <c r="K192" s="359">
        <f t="shared" si="48"/>
        <v>4656.3559322033907</v>
      </c>
      <c r="M192">
        <v>4070.0000000000005</v>
      </c>
    </row>
    <row r="193" spans="1:13" ht="12.75" x14ac:dyDescent="0.2">
      <c r="A193" s="739"/>
      <c r="B193" s="337" t="s">
        <v>36</v>
      </c>
      <c r="C193" s="337" t="s">
        <v>104</v>
      </c>
      <c r="D193" s="338" t="s">
        <v>293</v>
      </c>
      <c r="E193" s="354">
        <f t="shared" si="43"/>
        <v>6034.420000000001</v>
      </c>
      <c r="F193" s="355">
        <f t="shared" si="44"/>
        <v>4741.3300000000017</v>
      </c>
      <c r="G193" s="355">
        <f t="shared" si="45"/>
        <v>4525.8150000000014</v>
      </c>
      <c r="H193" s="355">
        <f t="shared" si="46"/>
        <v>4310.3000000000011</v>
      </c>
      <c r="I193" s="356">
        <f t="shared" si="47"/>
        <v>3102.3000000000006</v>
      </c>
      <c r="J193" s="341">
        <v>1208</v>
      </c>
      <c r="K193" s="359">
        <f t="shared" si="48"/>
        <v>3652.7966101694929</v>
      </c>
      <c r="M193">
        <v>2298.0000000000005</v>
      </c>
    </row>
    <row r="194" spans="1:13" ht="12.75" x14ac:dyDescent="0.2">
      <c r="A194" s="739"/>
      <c r="B194" s="337" t="s">
        <v>37</v>
      </c>
      <c r="C194" s="337" t="s">
        <v>106</v>
      </c>
      <c r="D194" s="338" t="s">
        <v>292</v>
      </c>
      <c r="E194" s="354">
        <f t="shared" si="43"/>
        <v>8518.369999999999</v>
      </c>
      <c r="F194" s="355">
        <f t="shared" si="44"/>
        <v>6693.005000000001</v>
      </c>
      <c r="G194" s="355">
        <f t="shared" si="45"/>
        <v>6388.7775000000001</v>
      </c>
      <c r="H194" s="355">
        <f t="shared" si="46"/>
        <v>6084.55</v>
      </c>
      <c r="I194" s="356">
        <f t="shared" si="47"/>
        <v>4526.55</v>
      </c>
      <c r="J194" s="341">
        <v>1558</v>
      </c>
      <c r="K194" s="359">
        <f t="shared" si="48"/>
        <v>5156.3983050847464</v>
      </c>
      <c r="M194">
        <v>3353</v>
      </c>
    </row>
    <row r="195" spans="1:13" ht="13.5" thickBot="1" x14ac:dyDescent="0.25">
      <c r="A195" s="740"/>
      <c r="B195" s="368" t="s">
        <v>38</v>
      </c>
      <c r="C195" s="368" t="s">
        <v>107</v>
      </c>
      <c r="D195" s="369" t="s">
        <v>294</v>
      </c>
      <c r="E195" s="370">
        <f t="shared" si="43"/>
        <v>10608.878000000002</v>
      </c>
      <c r="F195" s="371">
        <f t="shared" si="44"/>
        <v>8335.5470000000023</v>
      </c>
      <c r="G195" s="371">
        <f t="shared" si="45"/>
        <v>7956.6585000000023</v>
      </c>
      <c r="H195" s="371">
        <f t="shared" si="46"/>
        <v>7577.7700000000023</v>
      </c>
      <c r="I195" s="372">
        <f t="shared" si="47"/>
        <v>5395.9500000000016</v>
      </c>
      <c r="J195" s="373">
        <v>2181.8200000000002</v>
      </c>
      <c r="K195" s="374">
        <f t="shared" si="48"/>
        <v>6421.8389830508495</v>
      </c>
      <c r="M195">
        <v>3997.0000000000009</v>
      </c>
    </row>
    <row r="196" spans="1:13" ht="13.5" thickTop="1" x14ac:dyDescent="0.2">
      <c r="A196" s="739" t="s">
        <v>158</v>
      </c>
      <c r="B196" s="361" t="s">
        <v>425</v>
      </c>
      <c r="C196" s="361" t="s">
        <v>10</v>
      </c>
      <c r="D196" s="362"/>
      <c r="E196" s="363">
        <f t="shared" si="43"/>
        <v>3846.1500000000005</v>
      </c>
      <c r="F196" s="364">
        <f t="shared" si="44"/>
        <v>3021.9750000000008</v>
      </c>
      <c r="G196" s="364">
        <f t="shared" si="45"/>
        <v>2884.6125000000006</v>
      </c>
      <c r="H196" s="364">
        <f t="shared" si="46"/>
        <v>2747.2500000000005</v>
      </c>
      <c r="I196" s="365">
        <f t="shared" si="47"/>
        <v>2747.2500000000005</v>
      </c>
      <c r="J196" s="366"/>
      <c r="K196" s="367">
        <f t="shared" si="48"/>
        <v>2328.1779661016953</v>
      </c>
      <c r="M196">
        <v>2035.0000000000002</v>
      </c>
    </row>
    <row r="197" spans="1:13" ht="13.5" thickBot="1" x14ac:dyDescent="0.25">
      <c r="A197" s="740"/>
      <c r="B197" s="368" t="s">
        <v>253</v>
      </c>
      <c r="C197" s="368" t="s">
        <v>105</v>
      </c>
      <c r="D197" s="369" t="s">
        <v>291</v>
      </c>
      <c r="E197" s="370">
        <f t="shared" si="43"/>
        <v>7623.56</v>
      </c>
      <c r="F197" s="371">
        <f t="shared" si="44"/>
        <v>5989.9400000000014</v>
      </c>
      <c r="G197" s="371">
        <f t="shared" si="45"/>
        <v>5717.670000000001</v>
      </c>
      <c r="H197" s="371">
        <f t="shared" si="46"/>
        <v>5445.4000000000005</v>
      </c>
      <c r="I197" s="372">
        <f t="shared" si="47"/>
        <v>4244.4000000000005</v>
      </c>
      <c r="J197" s="373">
        <v>1201</v>
      </c>
      <c r="K197" s="374">
        <f t="shared" si="48"/>
        <v>4614.7457627118647</v>
      </c>
      <c r="M197">
        <v>3144</v>
      </c>
    </row>
    <row r="198" spans="1:13" ht="13.5" thickTop="1" x14ac:dyDescent="0.2">
      <c r="A198" s="739" t="s">
        <v>159</v>
      </c>
      <c r="B198" s="361" t="s">
        <v>426</v>
      </c>
      <c r="C198" s="361" t="s">
        <v>68</v>
      </c>
      <c r="D198" s="362"/>
      <c r="E198" s="363">
        <f t="shared" ref="E198:E208" si="49">H198*1.4</f>
        <v>3939.6</v>
      </c>
      <c r="F198" s="364">
        <f t="shared" ref="F198:F208" si="50">H198*1.1</f>
        <v>3095.4</v>
      </c>
      <c r="G198" s="364">
        <f t="shared" ref="G198:G208" si="51">H198*1.05</f>
        <v>2954.7000000000003</v>
      </c>
      <c r="H198" s="364">
        <f t="shared" ref="H198:H208" si="52">I198+J198</f>
        <v>2814</v>
      </c>
      <c r="I198" s="365">
        <f>M198*1.4</f>
        <v>2814</v>
      </c>
      <c r="J198" s="366"/>
      <c r="K198" s="367">
        <f t="shared" ref="K198:K205" si="53">H198/1.18</f>
        <v>2384.7457627118647</v>
      </c>
      <c r="M198">
        <v>2010</v>
      </c>
    </row>
    <row r="199" spans="1:13" ht="13.5" thickBot="1" x14ac:dyDescent="0.25">
      <c r="A199" s="740"/>
      <c r="B199" s="368" t="s">
        <v>261</v>
      </c>
      <c r="C199" s="368" t="s">
        <v>115</v>
      </c>
      <c r="D199" s="369" t="s">
        <v>292</v>
      </c>
      <c r="E199" s="370">
        <f t="shared" si="49"/>
        <v>7567.2799999999988</v>
      </c>
      <c r="F199" s="371">
        <f t="shared" si="50"/>
        <v>5945.72</v>
      </c>
      <c r="G199" s="371">
        <f t="shared" si="51"/>
        <v>5675.46</v>
      </c>
      <c r="H199" s="371">
        <f t="shared" si="52"/>
        <v>5405.2</v>
      </c>
      <c r="I199" s="372">
        <f>M199*1.4</f>
        <v>3847.2</v>
      </c>
      <c r="J199" s="373">
        <v>1558</v>
      </c>
      <c r="K199" s="374">
        <f t="shared" si="53"/>
        <v>4580.6779661016953</v>
      </c>
      <c r="M199">
        <v>2748</v>
      </c>
    </row>
    <row r="200" spans="1:13" ht="13.5" thickTop="1" x14ac:dyDescent="0.2">
      <c r="A200" s="738" t="s">
        <v>524</v>
      </c>
      <c r="B200" s="162" t="s">
        <v>602</v>
      </c>
      <c r="C200" s="376" t="s">
        <v>622</v>
      </c>
      <c r="D200" s="377"/>
      <c r="E200" s="378">
        <f t="shared" si="49"/>
        <v>2100</v>
      </c>
      <c r="F200" s="379">
        <f t="shared" si="50"/>
        <v>1650.0000000000002</v>
      </c>
      <c r="G200" s="379">
        <f t="shared" si="51"/>
        <v>1575</v>
      </c>
      <c r="H200" s="379">
        <f t="shared" si="52"/>
        <v>1500</v>
      </c>
      <c r="I200" s="380">
        <v>1500</v>
      </c>
      <c r="J200" s="381"/>
      <c r="K200" s="382">
        <f t="shared" si="53"/>
        <v>1271.1864406779662</v>
      </c>
    </row>
    <row r="201" spans="1:13" ht="15.75" customHeight="1" x14ac:dyDescent="0.2">
      <c r="A201" s="739"/>
      <c r="B201" s="5" t="s">
        <v>603</v>
      </c>
      <c r="C201" s="337" t="s">
        <v>623</v>
      </c>
      <c r="D201" s="4" t="s">
        <v>609</v>
      </c>
      <c r="E201" s="354">
        <f t="shared" si="49"/>
        <v>3406.2</v>
      </c>
      <c r="F201" s="355">
        <f t="shared" si="50"/>
        <v>2676.3</v>
      </c>
      <c r="G201" s="355">
        <f t="shared" si="51"/>
        <v>2554.65</v>
      </c>
      <c r="H201" s="355">
        <f t="shared" si="52"/>
        <v>2433</v>
      </c>
      <c r="I201" s="356">
        <v>1480</v>
      </c>
      <c r="J201" s="341">
        <v>953</v>
      </c>
      <c r="K201" s="359">
        <f t="shared" si="53"/>
        <v>2061.8644067796613</v>
      </c>
    </row>
    <row r="202" spans="1:13" ht="12.75" customHeight="1" x14ac:dyDescent="0.2">
      <c r="A202" s="739"/>
      <c r="B202" s="375" t="s">
        <v>525</v>
      </c>
      <c r="C202" s="337" t="s">
        <v>74</v>
      </c>
      <c r="D202" s="338"/>
      <c r="E202" s="354">
        <f t="shared" si="49"/>
        <v>2310</v>
      </c>
      <c r="F202" s="355">
        <f t="shared" si="50"/>
        <v>1815.0000000000002</v>
      </c>
      <c r="G202" s="355">
        <f t="shared" si="51"/>
        <v>1732.5</v>
      </c>
      <c r="H202" s="355">
        <f t="shared" si="52"/>
        <v>1650</v>
      </c>
      <c r="I202" s="356">
        <v>1650</v>
      </c>
      <c r="J202" s="341"/>
      <c r="K202" s="359">
        <f t="shared" si="53"/>
        <v>1398.3050847457628</v>
      </c>
      <c r="M202">
        <v>1900</v>
      </c>
    </row>
    <row r="203" spans="1:13" ht="12.75" customHeight="1" x14ac:dyDescent="0.2">
      <c r="A203" s="739"/>
      <c r="B203" s="375" t="s">
        <v>531</v>
      </c>
      <c r="C203" s="337" t="s">
        <v>305</v>
      </c>
      <c r="D203" s="338" t="s">
        <v>534</v>
      </c>
      <c r="E203" s="354">
        <f t="shared" si="49"/>
        <v>4250.3999999999996</v>
      </c>
      <c r="F203" s="355">
        <f t="shared" si="50"/>
        <v>3339.6000000000004</v>
      </c>
      <c r="G203" s="355">
        <f t="shared" si="51"/>
        <v>3187.8</v>
      </c>
      <c r="H203" s="355">
        <f t="shared" si="52"/>
        <v>3036</v>
      </c>
      <c r="I203" s="356">
        <v>1950</v>
      </c>
      <c r="J203" s="341">
        <v>1086</v>
      </c>
      <c r="K203" s="359">
        <f t="shared" si="53"/>
        <v>2572.8813559322034</v>
      </c>
      <c r="M203">
        <v>2324</v>
      </c>
    </row>
    <row r="204" spans="1:13" ht="12.75" customHeight="1" x14ac:dyDescent="0.2">
      <c r="A204" s="739"/>
      <c r="B204" s="375" t="s">
        <v>550</v>
      </c>
      <c r="C204" s="337" t="s">
        <v>624</v>
      </c>
      <c r="D204" s="338"/>
      <c r="E204" s="354">
        <f t="shared" si="49"/>
        <v>2380</v>
      </c>
      <c r="F204" s="355">
        <f t="shared" si="50"/>
        <v>1870.0000000000002</v>
      </c>
      <c r="G204" s="355">
        <f t="shared" si="51"/>
        <v>1785</v>
      </c>
      <c r="H204" s="355">
        <f t="shared" si="52"/>
        <v>1700</v>
      </c>
      <c r="I204" s="356">
        <v>1700</v>
      </c>
      <c r="J204" s="341"/>
      <c r="K204" s="359">
        <f t="shared" si="53"/>
        <v>1440.6779661016949</v>
      </c>
    </row>
    <row r="205" spans="1:13" ht="12.75" customHeight="1" x14ac:dyDescent="0.2">
      <c r="A205" s="739"/>
      <c r="B205" s="375" t="s">
        <v>551</v>
      </c>
      <c r="C205" s="337" t="s">
        <v>106</v>
      </c>
      <c r="D205" s="338" t="s">
        <v>292</v>
      </c>
      <c r="E205" s="354">
        <f t="shared" si="49"/>
        <v>5541.2</v>
      </c>
      <c r="F205" s="355">
        <f t="shared" si="50"/>
        <v>4353.8</v>
      </c>
      <c r="G205" s="355">
        <f t="shared" si="51"/>
        <v>4155.9000000000005</v>
      </c>
      <c r="H205" s="355">
        <f t="shared" si="52"/>
        <v>3958</v>
      </c>
      <c r="I205" s="356">
        <v>2400</v>
      </c>
      <c r="J205" s="341">
        <v>1558</v>
      </c>
      <c r="K205" s="359">
        <f t="shared" si="53"/>
        <v>3354.2372881355932</v>
      </c>
    </row>
    <row r="206" spans="1:13" ht="12.75" customHeight="1" x14ac:dyDescent="0.2">
      <c r="A206" s="739"/>
      <c r="B206" s="375" t="s">
        <v>526</v>
      </c>
      <c r="C206" s="337" t="s">
        <v>529</v>
      </c>
      <c r="D206" s="338"/>
      <c r="E206" s="354">
        <f t="shared" si="49"/>
        <v>2380</v>
      </c>
      <c r="F206" s="355">
        <f t="shared" si="50"/>
        <v>1870.0000000000002</v>
      </c>
      <c r="G206" s="355">
        <f t="shared" si="51"/>
        <v>1785</v>
      </c>
      <c r="H206" s="355">
        <f t="shared" si="52"/>
        <v>1700</v>
      </c>
      <c r="I206" s="356">
        <v>1700</v>
      </c>
      <c r="J206" s="341"/>
      <c r="K206" s="359">
        <f t="shared" ref="K206:K214" si="54">H206/1.18</f>
        <v>1440.6779661016949</v>
      </c>
    </row>
    <row r="207" spans="1:13" ht="17.25" customHeight="1" x14ac:dyDescent="0.2">
      <c r="A207" s="739"/>
      <c r="B207" s="375" t="s">
        <v>530</v>
      </c>
      <c r="C207" s="337" t="s">
        <v>91</v>
      </c>
      <c r="D207" s="338" t="s">
        <v>287</v>
      </c>
      <c r="E207" s="354">
        <f t="shared" si="49"/>
        <v>7893.2</v>
      </c>
      <c r="F207" s="355">
        <f t="shared" si="50"/>
        <v>6201.8</v>
      </c>
      <c r="G207" s="355">
        <f t="shared" si="51"/>
        <v>5919.9000000000005</v>
      </c>
      <c r="H207" s="355">
        <f t="shared" si="52"/>
        <v>5638</v>
      </c>
      <c r="I207" s="356">
        <v>3250</v>
      </c>
      <c r="J207" s="341">
        <v>2388</v>
      </c>
      <c r="K207" s="359">
        <f t="shared" si="54"/>
        <v>4777.9661016949158</v>
      </c>
    </row>
    <row r="208" spans="1:13" ht="12.75" customHeight="1" x14ac:dyDescent="0.2">
      <c r="A208" s="739"/>
      <c r="B208" s="5" t="s">
        <v>606</v>
      </c>
      <c r="C208" s="337" t="s">
        <v>604</v>
      </c>
      <c r="D208" s="338"/>
      <c r="E208" s="354">
        <f t="shared" si="49"/>
        <v>2940</v>
      </c>
      <c r="F208" s="355">
        <f t="shared" si="50"/>
        <v>2310</v>
      </c>
      <c r="G208" s="355">
        <f t="shared" si="51"/>
        <v>2205</v>
      </c>
      <c r="H208" s="355">
        <f t="shared" si="52"/>
        <v>2100</v>
      </c>
      <c r="I208" s="356">
        <v>2100</v>
      </c>
      <c r="J208" s="341"/>
      <c r="K208" s="359">
        <f t="shared" si="54"/>
        <v>1779.6610169491526</v>
      </c>
      <c r="M208">
        <v>2650</v>
      </c>
    </row>
    <row r="209" spans="1:29" ht="12.75" customHeight="1" x14ac:dyDescent="0.2">
      <c r="A209" s="739"/>
      <c r="B209" s="5" t="s">
        <v>607</v>
      </c>
      <c r="C209" s="337" t="s">
        <v>605</v>
      </c>
      <c r="D209" s="4" t="s">
        <v>608</v>
      </c>
      <c r="E209" s="354">
        <f t="shared" ref="E209:E214" si="55">H209*1.4</f>
        <v>8712.1999999999989</v>
      </c>
      <c r="F209" s="355">
        <f t="shared" ref="F209:F214" si="56">H209*1.1</f>
        <v>6845.3</v>
      </c>
      <c r="G209" s="355">
        <f t="shared" ref="G209:G214" si="57">H209*1.05</f>
        <v>6534.1500000000005</v>
      </c>
      <c r="H209" s="355">
        <f t="shared" ref="H209:H214" si="58">I209+J209</f>
        <v>6223</v>
      </c>
      <c r="I209" s="356">
        <v>3800</v>
      </c>
      <c r="J209" s="341">
        <v>2423</v>
      </c>
      <c r="K209" s="359">
        <f t="shared" si="54"/>
        <v>5273.7288135593226</v>
      </c>
    </row>
    <row r="210" spans="1:29" ht="12.75" customHeight="1" thickBot="1" x14ac:dyDescent="0.25">
      <c r="A210" s="740"/>
      <c r="B210" s="136" t="s">
        <v>620</v>
      </c>
      <c r="C210" s="368" t="s">
        <v>621</v>
      </c>
      <c r="D210" s="383"/>
      <c r="E210" s="370">
        <f t="shared" si="55"/>
        <v>4620</v>
      </c>
      <c r="F210" s="371">
        <f t="shared" si="56"/>
        <v>3630.0000000000005</v>
      </c>
      <c r="G210" s="371">
        <f t="shared" si="57"/>
        <v>3465</v>
      </c>
      <c r="H210" s="371">
        <f t="shared" si="58"/>
        <v>3300</v>
      </c>
      <c r="I210" s="372">
        <v>3300</v>
      </c>
      <c r="J210" s="373"/>
      <c r="K210" s="374">
        <f t="shared" si="54"/>
        <v>2796.6101694915255</v>
      </c>
      <c r="M210">
        <v>4005</v>
      </c>
    </row>
    <row r="211" spans="1:29" ht="12.75" customHeight="1" thickTop="1" x14ac:dyDescent="0.25">
      <c r="A211" s="387"/>
      <c r="B211" s="361" t="s">
        <v>516</v>
      </c>
      <c r="C211" s="361" t="s">
        <v>74</v>
      </c>
      <c r="D211" s="362"/>
      <c r="E211" s="363">
        <f t="shared" si="55"/>
        <v>3439.7999999999997</v>
      </c>
      <c r="F211" s="364">
        <f t="shared" si="56"/>
        <v>2702.7000000000003</v>
      </c>
      <c r="G211" s="364">
        <f t="shared" si="57"/>
        <v>2579.85</v>
      </c>
      <c r="H211" s="364">
        <f t="shared" si="58"/>
        <v>2457</v>
      </c>
      <c r="I211" s="365">
        <f>M213*1.35</f>
        <v>2457</v>
      </c>
      <c r="J211" s="366"/>
      <c r="K211" s="367">
        <f t="shared" si="54"/>
        <v>2082.2033898305085</v>
      </c>
    </row>
    <row r="212" spans="1:29" ht="12.75" customHeight="1" x14ac:dyDescent="0.25">
      <c r="A212" s="387"/>
      <c r="B212" s="337" t="s">
        <v>517</v>
      </c>
      <c r="C212" s="337" t="s">
        <v>104</v>
      </c>
      <c r="D212" s="338" t="s">
        <v>285</v>
      </c>
      <c r="E212" s="354">
        <f t="shared" si="55"/>
        <v>5334.7</v>
      </c>
      <c r="F212" s="355">
        <f t="shared" si="56"/>
        <v>4191.55</v>
      </c>
      <c r="G212" s="355">
        <f t="shared" si="57"/>
        <v>4001.0250000000001</v>
      </c>
      <c r="H212" s="355">
        <f t="shared" si="58"/>
        <v>3810.5</v>
      </c>
      <c r="I212" s="356">
        <f>M214*1.35</f>
        <v>2605.5</v>
      </c>
      <c r="J212" s="341">
        <v>1205</v>
      </c>
      <c r="K212" s="359">
        <f t="shared" si="54"/>
        <v>3229.2372881355932</v>
      </c>
    </row>
    <row r="213" spans="1:29" s="342" customFormat="1" ht="12.75" x14ac:dyDescent="0.2">
      <c r="A213" s="731" t="s">
        <v>160</v>
      </c>
      <c r="B213" s="388" t="s">
        <v>636</v>
      </c>
      <c r="C213" s="388" t="s">
        <v>635</v>
      </c>
      <c r="D213" s="389"/>
      <c r="E213" s="390">
        <f t="shared" si="55"/>
        <v>0</v>
      </c>
      <c r="F213" s="367">
        <f t="shared" si="56"/>
        <v>0</v>
      </c>
      <c r="G213" s="367">
        <f t="shared" si="57"/>
        <v>0</v>
      </c>
      <c r="H213" s="367">
        <f t="shared" si="58"/>
        <v>0</v>
      </c>
      <c r="I213" s="365">
        <v>0</v>
      </c>
      <c r="J213" s="366"/>
      <c r="K213" s="367">
        <f t="shared" si="54"/>
        <v>0</v>
      </c>
      <c r="M213" s="342">
        <v>1820</v>
      </c>
    </row>
    <row r="214" spans="1:29" s="342" customFormat="1" ht="13.5" thickBot="1" x14ac:dyDescent="0.25">
      <c r="A214" s="731"/>
      <c r="B214" s="344" t="s">
        <v>637</v>
      </c>
      <c r="C214" s="384" t="s">
        <v>115</v>
      </c>
      <c r="D214" s="385" t="s">
        <v>292</v>
      </c>
      <c r="E214" s="360">
        <f t="shared" si="55"/>
        <v>2181.1999999999998</v>
      </c>
      <c r="F214" s="359">
        <f t="shared" si="56"/>
        <v>1713.8000000000002</v>
      </c>
      <c r="G214" s="359">
        <f t="shared" si="57"/>
        <v>1635.9</v>
      </c>
      <c r="H214" s="359">
        <f t="shared" si="58"/>
        <v>1558</v>
      </c>
      <c r="I214" s="356">
        <v>0</v>
      </c>
      <c r="J214" s="341">
        <v>1558</v>
      </c>
      <c r="K214" s="359">
        <f t="shared" si="54"/>
        <v>1320.3389830508474</v>
      </c>
      <c r="M214" s="342">
        <v>1930</v>
      </c>
    </row>
    <row r="215" spans="1:29" s="348" customFormat="1" ht="18.75" thickTop="1" x14ac:dyDescent="0.25">
      <c r="A215" s="735" t="s">
        <v>163</v>
      </c>
      <c r="B215" s="736"/>
      <c r="C215" s="736"/>
      <c r="D215" s="736"/>
      <c r="E215" s="736"/>
      <c r="F215" s="736"/>
      <c r="G215" s="736"/>
      <c r="H215" s="736"/>
      <c r="I215" s="736"/>
      <c r="J215" s="736"/>
      <c r="K215" s="737"/>
      <c r="L215"/>
      <c r="M215">
        <v>1931</v>
      </c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</row>
    <row r="216" spans="1:29" s="348" customFormat="1" ht="18" x14ac:dyDescent="0.25">
      <c r="A216" s="714" t="s">
        <v>163</v>
      </c>
      <c r="B216" s="337" t="s">
        <v>642</v>
      </c>
      <c r="C216" s="337" t="s">
        <v>643</v>
      </c>
      <c r="D216" s="338"/>
      <c r="E216" s="354"/>
      <c r="F216" s="355"/>
      <c r="G216" s="355"/>
      <c r="H216" s="355"/>
      <c r="I216" s="356"/>
      <c r="J216" s="341"/>
      <c r="K216" s="359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</row>
    <row r="217" spans="1:29" ht="12.75" customHeight="1" x14ac:dyDescent="0.2">
      <c r="A217" s="715"/>
      <c r="B217" s="337" t="s">
        <v>47</v>
      </c>
      <c r="C217" s="337" t="s">
        <v>116</v>
      </c>
      <c r="D217" s="338"/>
      <c r="E217" s="354"/>
      <c r="F217" s="355"/>
      <c r="G217" s="355"/>
      <c r="H217" s="355"/>
      <c r="I217" s="356"/>
      <c r="J217" s="341"/>
      <c r="K217" s="359"/>
      <c r="M217">
        <v>1932</v>
      </c>
    </row>
    <row r="218" spans="1:29" ht="12.75" customHeight="1" x14ac:dyDescent="0.2">
      <c r="A218" s="715"/>
      <c r="B218" s="337" t="s">
        <v>48</v>
      </c>
      <c r="C218" s="337" t="s">
        <v>117</v>
      </c>
      <c r="D218" s="338"/>
      <c r="E218" s="354"/>
      <c r="F218" s="355"/>
      <c r="G218" s="355"/>
      <c r="H218" s="355"/>
      <c r="I218" s="356"/>
      <c r="J218" s="341"/>
      <c r="K218" s="359"/>
      <c r="M218">
        <v>1933</v>
      </c>
    </row>
    <row r="219" spans="1:29" ht="12.75" customHeight="1" x14ac:dyDescent="0.2">
      <c r="A219" s="715"/>
      <c r="B219" s="337" t="s">
        <v>49</v>
      </c>
      <c r="C219" s="337" t="s">
        <v>118</v>
      </c>
      <c r="D219" s="338"/>
      <c r="E219" s="354"/>
      <c r="F219" s="355"/>
      <c r="G219" s="355"/>
      <c r="H219" s="355"/>
      <c r="I219" s="356"/>
      <c r="J219" s="341"/>
      <c r="K219" s="359"/>
      <c r="M219">
        <v>1934</v>
      </c>
    </row>
    <row r="220" spans="1:29" ht="12.75" customHeight="1" x14ac:dyDescent="0.2">
      <c r="A220" s="715"/>
      <c r="B220" s="337" t="s">
        <v>50</v>
      </c>
      <c r="C220" s="337" t="s">
        <v>119</v>
      </c>
      <c r="D220" s="338"/>
      <c r="E220" s="354"/>
      <c r="F220" s="355"/>
      <c r="G220" s="355"/>
      <c r="H220" s="355"/>
      <c r="I220" s="356"/>
      <c r="J220" s="341"/>
      <c r="K220" s="359"/>
      <c r="M220">
        <v>1935</v>
      </c>
    </row>
    <row r="221" spans="1:29" ht="12.75" customHeight="1" x14ac:dyDescent="0.2">
      <c r="A221" s="715"/>
      <c r="B221" s="337" t="s">
        <v>528</v>
      </c>
      <c r="C221" s="337" t="s">
        <v>121</v>
      </c>
      <c r="D221" s="338"/>
      <c r="E221" s="354"/>
      <c r="F221" s="355"/>
      <c r="G221" s="355"/>
      <c r="H221" s="355"/>
      <c r="I221" s="356"/>
      <c r="J221" s="341"/>
      <c r="K221" s="359"/>
      <c r="M221">
        <v>1936</v>
      </c>
    </row>
    <row r="222" spans="1:29" ht="12.75" customHeight="1" x14ac:dyDescent="0.2">
      <c r="A222" s="715"/>
      <c r="B222" s="337" t="s">
        <v>461</v>
      </c>
      <c r="C222" s="337" t="s">
        <v>462</v>
      </c>
      <c r="D222" s="338"/>
      <c r="E222" s="354"/>
      <c r="F222" s="355"/>
      <c r="G222" s="355"/>
      <c r="H222" s="355"/>
      <c r="I222" s="356"/>
      <c r="J222" s="341"/>
      <c r="K222" s="359"/>
      <c r="M222">
        <v>1937</v>
      </c>
    </row>
    <row r="223" spans="1:29" ht="12.75" customHeight="1" x14ac:dyDescent="0.2">
      <c r="A223" s="715"/>
      <c r="B223" s="337" t="s">
        <v>52</v>
      </c>
      <c r="C223" s="337" t="s">
        <v>120</v>
      </c>
      <c r="D223" s="338"/>
      <c r="E223" s="354"/>
      <c r="F223" s="355"/>
      <c r="G223" s="355"/>
      <c r="H223" s="355"/>
      <c r="I223" s="356"/>
      <c r="J223" s="341"/>
      <c r="K223" s="359"/>
      <c r="M223">
        <v>1938</v>
      </c>
    </row>
    <row r="224" spans="1:29" ht="12.75" customHeight="1" x14ac:dyDescent="0.2">
      <c r="A224" s="715"/>
      <c r="B224" s="337" t="s">
        <v>548</v>
      </c>
      <c r="C224" s="337" t="s">
        <v>646</v>
      </c>
      <c r="D224" s="338"/>
      <c r="E224" s="354"/>
      <c r="F224" s="355"/>
      <c r="G224" s="355"/>
      <c r="H224" s="355"/>
      <c r="I224" s="356"/>
      <c r="J224" s="341"/>
      <c r="K224" s="359"/>
      <c r="M224">
        <v>1939</v>
      </c>
    </row>
    <row r="225" spans="1:11" ht="12.75" customHeight="1" x14ac:dyDescent="0.2">
      <c r="A225" s="715"/>
      <c r="B225" s="337" t="s">
        <v>54</v>
      </c>
      <c r="C225" s="337" t="s">
        <v>122</v>
      </c>
      <c r="D225" s="338"/>
      <c r="E225" s="354"/>
      <c r="F225" s="355"/>
      <c r="G225" s="355"/>
      <c r="H225" s="355"/>
      <c r="I225" s="356"/>
      <c r="J225" s="341"/>
      <c r="K225" s="359"/>
    </row>
    <row r="226" spans="1:11" ht="12.75" customHeight="1" x14ac:dyDescent="0.2">
      <c r="A226" s="715"/>
      <c r="B226" s="337" t="s">
        <v>55</v>
      </c>
      <c r="C226" s="337" t="s">
        <v>123</v>
      </c>
      <c r="D226" s="338"/>
      <c r="E226" s="354"/>
      <c r="F226" s="355"/>
      <c r="G226" s="355"/>
      <c r="H226" s="355"/>
      <c r="I226" s="356"/>
      <c r="J226" s="341"/>
      <c r="K226" s="359"/>
    </row>
    <row r="227" spans="1:11" ht="12.75" customHeight="1" x14ac:dyDescent="0.2">
      <c r="A227" s="715"/>
      <c r="B227" s="337" t="s">
        <v>56</v>
      </c>
      <c r="C227" s="337" t="s">
        <v>124</v>
      </c>
      <c r="D227" s="338"/>
      <c r="E227" s="354"/>
      <c r="F227" s="355"/>
      <c r="G227" s="355"/>
      <c r="H227" s="355"/>
      <c r="I227" s="356"/>
      <c r="J227" s="341"/>
      <c r="K227" s="359"/>
    </row>
    <row r="228" spans="1:11" ht="12.75" customHeight="1" x14ac:dyDescent="0.2">
      <c r="A228" s="715"/>
      <c r="B228" s="337" t="s">
        <v>57</v>
      </c>
      <c r="C228" s="337" t="s">
        <v>129</v>
      </c>
      <c r="D228" s="338"/>
      <c r="E228" s="354"/>
      <c r="F228" s="355"/>
      <c r="G228" s="355"/>
      <c r="H228" s="355"/>
      <c r="I228" s="356"/>
      <c r="J228" s="341"/>
      <c r="K228" s="359"/>
    </row>
    <row r="229" spans="1:11" ht="12.75" customHeight="1" x14ac:dyDescent="0.2">
      <c r="A229" s="715"/>
      <c r="B229" s="337" t="s">
        <v>58</v>
      </c>
      <c r="C229" s="337" t="s">
        <v>130</v>
      </c>
      <c r="D229" s="338"/>
      <c r="E229" s="354"/>
      <c r="F229" s="355"/>
      <c r="G229" s="355"/>
      <c r="H229" s="355"/>
      <c r="I229" s="356"/>
      <c r="J229" s="341"/>
      <c r="K229" s="359"/>
    </row>
    <row r="230" spans="1:11" ht="12.75" customHeight="1" x14ac:dyDescent="0.2">
      <c r="A230" s="715"/>
      <c r="B230" s="337" t="s">
        <v>59</v>
      </c>
      <c r="C230" s="337" t="s">
        <v>131</v>
      </c>
      <c r="D230" s="338"/>
      <c r="E230" s="354"/>
      <c r="F230" s="355"/>
      <c r="G230" s="355"/>
      <c r="H230" s="355"/>
      <c r="I230" s="356"/>
      <c r="J230" s="341"/>
      <c r="K230" s="359"/>
    </row>
    <row r="231" spans="1:11" ht="12.75" customHeight="1" x14ac:dyDescent="0.2">
      <c r="A231" s="715"/>
      <c r="B231" s="337" t="s">
        <v>60</v>
      </c>
      <c r="C231" s="337" t="s">
        <v>132</v>
      </c>
      <c r="D231" s="338"/>
      <c r="E231" s="354"/>
      <c r="F231" s="355"/>
      <c r="G231" s="355"/>
      <c r="H231" s="355"/>
      <c r="I231" s="356"/>
      <c r="J231" s="341"/>
      <c r="K231" s="359"/>
    </row>
    <row r="232" spans="1:11" ht="12.75" customHeight="1" x14ac:dyDescent="0.2">
      <c r="A232" s="715"/>
      <c r="B232" s="337" t="s">
        <v>328</v>
      </c>
      <c r="C232" s="337" t="s">
        <v>125</v>
      </c>
      <c r="D232" s="338"/>
      <c r="E232" s="354"/>
      <c r="F232" s="355"/>
      <c r="G232" s="355"/>
      <c r="H232" s="355"/>
      <c r="I232" s="356"/>
      <c r="J232" s="341"/>
      <c r="K232" s="359"/>
    </row>
    <row r="233" spans="1:11" ht="12.75" customHeight="1" x14ac:dyDescent="0.2">
      <c r="A233" s="715"/>
      <c r="B233" s="337" t="s">
        <v>331</v>
      </c>
      <c r="C233" s="337" t="s">
        <v>125</v>
      </c>
      <c r="D233" s="338"/>
      <c r="E233" s="354"/>
      <c r="F233" s="355"/>
      <c r="G233" s="355"/>
      <c r="H233" s="355"/>
      <c r="I233" s="356"/>
      <c r="J233" s="341"/>
      <c r="K233" s="359"/>
    </row>
    <row r="234" spans="1:11" ht="12.75" customHeight="1" x14ac:dyDescent="0.2">
      <c r="A234" s="715"/>
      <c r="B234" s="337" t="s">
        <v>330</v>
      </c>
      <c r="C234" s="337" t="s">
        <v>126</v>
      </c>
      <c r="D234" s="338"/>
      <c r="E234" s="354"/>
      <c r="F234" s="355"/>
      <c r="G234" s="355"/>
      <c r="H234" s="355"/>
      <c r="I234" s="356"/>
      <c r="J234" s="341"/>
      <c r="K234" s="359"/>
    </row>
    <row r="235" spans="1:11" ht="12.75" customHeight="1" x14ac:dyDescent="0.2">
      <c r="A235" s="715"/>
      <c r="B235" s="337" t="s">
        <v>329</v>
      </c>
      <c r="C235" s="337" t="s">
        <v>127</v>
      </c>
      <c r="D235" s="338"/>
      <c r="E235" s="354"/>
      <c r="F235" s="355"/>
      <c r="G235" s="355"/>
      <c r="H235" s="355"/>
      <c r="I235" s="356"/>
      <c r="J235" s="341"/>
      <c r="K235" s="359"/>
    </row>
    <row r="236" spans="1:11" ht="12.75" customHeight="1" x14ac:dyDescent="0.2">
      <c r="A236" s="715"/>
      <c r="B236" s="3" t="s">
        <v>616</v>
      </c>
      <c r="C236" s="3" t="s">
        <v>617</v>
      </c>
      <c r="D236" s="338"/>
      <c r="E236" s="354"/>
      <c r="F236" s="355"/>
      <c r="G236" s="355"/>
      <c r="H236" s="355"/>
      <c r="I236" s="356"/>
      <c r="J236" s="341"/>
      <c r="K236" s="359"/>
    </row>
    <row r="237" spans="1:11" ht="12.75" customHeight="1" x14ac:dyDescent="0.2">
      <c r="A237" s="715"/>
      <c r="B237" s="3" t="s">
        <v>644</v>
      </c>
      <c r="C237" s="3" t="s">
        <v>645</v>
      </c>
      <c r="D237" s="338"/>
      <c r="E237" s="354"/>
      <c r="F237" s="355"/>
      <c r="G237" s="355"/>
      <c r="H237" s="355"/>
      <c r="I237" s="356"/>
      <c r="J237" s="341"/>
      <c r="K237" s="359"/>
    </row>
    <row r="238" spans="1:11" ht="12.75" customHeight="1" x14ac:dyDescent="0.2">
      <c r="A238" s="715"/>
      <c r="B238" s="337" t="s">
        <v>567</v>
      </c>
      <c r="C238" s="337" t="s">
        <v>571</v>
      </c>
      <c r="D238" s="338"/>
      <c r="E238" s="354"/>
      <c r="F238" s="355"/>
      <c r="G238" s="355"/>
      <c r="H238" s="355"/>
      <c r="I238" s="356"/>
      <c r="J238" s="341"/>
      <c r="K238" s="359"/>
    </row>
    <row r="239" spans="1:11" ht="12.75" customHeight="1" x14ac:dyDescent="0.2">
      <c r="A239" s="715"/>
      <c r="B239" s="337" t="s">
        <v>568</v>
      </c>
      <c r="C239" s="337" t="s">
        <v>572</v>
      </c>
      <c r="D239" s="338"/>
      <c r="E239" s="354"/>
      <c r="F239" s="355"/>
      <c r="G239" s="355"/>
      <c r="H239" s="355"/>
      <c r="I239" s="356"/>
      <c r="J239" s="341"/>
      <c r="K239" s="359"/>
    </row>
    <row r="240" spans="1:11" ht="12.75" customHeight="1" x14ac:dyDescent="0.2">
      <c r="A240" s="715"/>
      <c r="B240" s="337" t="s">
        <v>569</v>
      </c>
      <c r="C240" s="337" t="s">
        <v>570</v>
      </c>
      <c r="D240" s="338"/>
      <c r="E240" s="354"/>
      <c r="F240" s="355"/>
      <c r="G240" s="355"/>
      <c r="H240" s="355"/>
      <c r="I240" s="356"/>
      <c r="J240" s="341"/>
      <c r="K240" s="359"/>
    </row>
    <row r="241" spans="1:11" ht="12.75" customHeight="1" x14ac:dyDescent="0.2">
      <c r="A241" s="715"/>
      <c r="B241" s="3" t="s">
        <v>364</v>
      </c>
      <c r="C241" s="337" t="s">
        <v>344</v>
      </c>
      <c r="D241" s="338"/>
      <c r="E241" s="354"/>
      <c r="F241" s="355"/>
      <c r="G241" s="355"/>
      <c r="H241" s="355"/>
      <c r="I241" s="356"/>
      <c r="J241" s="341"/>
      <c r="K241" s="359"/>
    </row>
    <row r="242" spans="1:11" ht="12.75" customHeight="1" x14ac:dyDescent="0.2">
      <c r="A242" s="715"/>
      <c r="B242" s="3" t="s">
        <v>614</v>
      </c>
      <c r="C242" s="3" t="s">
        <v>615</v>
      </c>
      <c r="D242" s="338"/>
      <c r="E242" s="354"/>
      <c r="F242" s="355"/>
      <c r="G242" s="355"/>
      <c r="H242" s="355"/>
      <c r="I242" s="356"/>
      <c r="J242" s="341"/>
      <c r="K242" s="359"/>
    </row>
    <row r="243" spans="1:11" ht="13.5" customHeight="1" thickBot="1" x14ac:dyDescent="0.25">
      <c r="A243" s="752"/>
      <c r="B243" s="396" t="s">
        <v>300</v>
      </c>
      <c r="C243" s="396" t="s">
        <v>128</v>
      </c>
      <c r="D243" s="397"/>
      <c r="E243" s="398"/>
      <c r="F243" s="399"/>
      <c r="G243" s="399"/>
      <c r="H243" s="399"/>
      <c r="I243" s="400"/>
      <c r="J243" s="401"/>
      <c r="K243" s="402"/>
    </row>
    <row r="244" spans="1:11" ht="67.5" customHeight="1" thickBot="1" x14ac:dyDescent="0.3">
      <c r="A244" s="745" t="s">
        <v>648</v>
      </c>
      <c r="B244" s="746"/>
      <c r="C244" s="746"/>
      <c r="D244" s="746"/>
      <c r="E244" s="746"/>
      <c r="F244" s="746"/>
      <c r="G244" s="746"/>
      <c r="H244" s="746"/>
      <c r="I244" s="746"/>
      <c r="J244" s="747"/>
      <c r="K244" s="408"/>
    </row>
    <row r="245" spans="1:11" x14ac:dyDescent="0.25">
      <c r="B245" t="s">
        <v>299</v>
      </c>
    </row>
    <row r="246" spans="1:11" x14ac:dyDescent="0.25">
      <c r="B246" t="s">
        <v>217</v>
      </c>
    </row>
    <row r="247" spans="1:11" x14ac:dyDescent="0.25">
      <c r="B247" t="s">
        <v>519</v>
      </c>
    </row>
    <row r="248" spans="1:11" x14ac:dyDescent="0.25">
      <c r="B248" t="s">
        <v>518</v>
      </c>
    </row>
    <row r="249" spans="1:11" x14ac:dyDescent="0.25">
      <c r="B249" t="s">
        <v>590</v>
      </c>
    </row>
    <row r="250" spans="1:11" x14ac:dyDescent="0.25">
      <c r="B250" t="s">
        <v>202</v>
      </c>
    </row>
    <row r="251" spans="1:11" x14ac:dyDescent="0.25">
      <c r="B251" t="s">
        <v>199</v>
      </c>
    </row>
    <row r="252" spans="1:11" x14ac:dyDescent="0.25">
      <c r="B252" t="s">
        <v>201</v>
      </c>
    </row>
    <row r="253" spans="1:11" x14ac:dyDescent="0.25">
      <c r="B253" t="s">
        <v>183</v>
      </c>
    </row>
    <row r="254" spans="1:11" x14ac:dyDescent="0.25">
      <c r="B254" t="s">
        <v>182</v>
      </c>
    </row>
    <row r="255" spans="1:11" x14ac:dyDescent="0.25">
      <c r="B255" t="s">
        <v>206</v>
      </c>
    </row>
    <row r="256" spans="1:11" x14ac:dyDescent="0.25">
      <c r="B256" t="s">
        <v>207</v>
      </c>
    </row>
    <row r="257" spans="2:2" x14ac:dyDescent="0.25">
      <c r="B257" t="s">
        <v>587</v>
      </c>
    </row>
    <row r="258" spans="2:2" x14ac:dyDescent="0.25">
      <c r="B258" t="s">
        <v>588</v>
      </c>
    </row>
    <row r="259" spans="2:2" x14ac:dyDescent="0.25">
      <c r="B259" t="s">
        <v>589</v>
      </c>
    </row>
    <row r="260" spans="2:2" x14ac:dyDescent="0.25">
      <c r="B260" t="s">
        <v>205</v>
      </c>
    </row>
    <row r="261" spans="2:2" x14ac:dyDescent="0.25">
      <c r="B261" t="s">
        <v>204</v>
      </c>
    </row>
    <row r="262" spans="2:2" x14ac:dyDescent="0.25">
      <c r="B262" t="s">
        <v>203</v>
      </c>
    </row>
  </sheetData>
  <mergeCells count="40">
    <mergeCell ref="A244:J244"/>
    <mergeCell ref="A6:A8"/>
    <mergeCell ref="A31:A33"/>
    <mergeCell ref="A1:G1"/>
    <mergeCell ref="A5:K5"/>
    <mergeCell ref="A9:A11"/>
    <mergeCell ref="A34:A40"/>
    <mergeCell ref="A84:A98"/>
    <mergeCell ref="A99:A106"/>
    <mergeCell ref="A216:A243"/>
    <mergeCell ref="A12:A15"/>
    <mergeCell ref="A16:A25"/>
    <mergeCell ref="A129:A132"/>
    <mergeCell ref="A41:A43"/>
    <mergeCell ref="A44:A48"/>
    <mergeCell ref="A49:A51"/>
    <mergeCell ref="A172:A177"/>
    <mergeCell ref="A182:A186"/>
    <mergeCell ref="A52:A73"/>
    <mergeCell ref="A26:A29"/>
    <mergeCell ref="A110:A114"/>
    <mergeCell ref="A74:A83"/>
    <mergeCell ref="A125:A128"/>
    <mergeCell ref="A107:A109"/>
    <mergeCell ref="A213:A214"/>
    <mergeCell ref="A30:K30"/>
    <mergeCell ref="A169:K169"/>
    <mergeCell ref="A215:K215"/>
    <mergeCell ref="A200:A210"/>
    <mergeCell ref="A120:A124"/>
    <mergeCell ref="A198:A199"/>
    <mergeCell ref="A133:A135"/>
    <mergeCell ref="A115:A119"/>
    <mergeCell ref="A187:A188"/>
    <mergeCell ref="A196:A197"/>
    <mergeCell ref="A189:A195"/>
    <mergeCell ref="A136:A143"/>
    <mergeCell ref="A144:A165"/>
    <mergeCell ref="A166:A168"/>
    <mergeCell ref="A180:A181"/>
  </mergeCells>
  <pageMargins left="0.25" right="0.25" top="0.75" bottom="0.75" header="0.3" footer="0.3"/>
  <pageSetup paperSize="9" scale="33" fitToHeight="0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0"/>
  <sheetViews>
    <sheetView tabSelected="1" view="pageBreakPreview" zoomScale="85" zoomScaleNormal="115" zoomScaleSheetLayoutView="85" zoomScalePageLayoutView="75" workbookViewId="0">
      <pane ySplit="3" topLeftCell="A129" activePane="bottomLeft" state="frozen"/>
      <selection pane="bottomLeft" activeCell="B283" sqref="A283:XFD283"/>
    </sheetView>
  </sheetViews>
  <sheetFormatPr defaultRowHeight="15.75" x14ac:dyDescent="0.25"/>
  <cols>
    <col min="1" max="1" width="20.5703125" style="514" customWidth="1"/>
    <col min="2" max="2" width="48.42578125" style="413" customWidth="1"/>
    <col min="3" max="3" width="18.42578125" style="413" customWidth="1"/>
    <col min="4" max="4" width="13.42578125" style="440" bestFit="1" customWidth="1"/>
    <col min="5" max="5" width="9.28515625" style="440" bestFit="1" customWidth="1"/>
    <col min="6" max="6" width="20.7109375" style="574" bestFit="1" customWidth="1"/>
    <col min="7" max="7" width="13.42578125" style="593" bestFit="1" customWidth="1"/>
    <col min="8" max="8" width="12.140625" style="594" bestFit="1" customWidth="1"/>
    <col min="9" max="10" width="12.140625" style="816" customWidth="1"/>
    <col min="11" max="16384" width="9.140625" style="410"/>
  </cols>
  <sheetData>
    <row r="1" spans="1:10" ht="12.75" x14ac:dyDescent="0.2">
      <c r="A1" s="757" t="s">
        <v>731</v>
      </c>
      <c r="B1" s="757"/>
      <c r="C1" s="757"/>
      <c r="D1" s="757"/>
      <c r="E1" s="757"/>
      <c r="F1" s="757"/>
      <c r="G1" s="757"/>
      <c r="H1" s="757"/>
      <c r="I1" s="757"/>
      <c r="J1" s="757"/>
    </row>
    <row r="2" spans="1:10" ht="13.5" thickBot="1" x14ac:dyDescent="0.25">
      <c r="A2" s="760" t="s">
        <v>1254</v>
      </c>
      <c r="B2" s="760"/>
      <c r="C2" s="760"/>
      <c r="D2" s="760"/>
      <c r="E2" s="760"/>
      <c r="F2" s="760"/>
      <c r="G2" s="760"/>
      <c r="H2" s="760"/>
      <c r="I2" s="760"/>
      <c r="J2" s="760"/>
    </row>
    <row r="3" spans="1:10" s="409" customFormat="1" ht="90" customHeight="1" thickBot="1" x14ac:dyDescent="0.25">
      <c r="A3" s="414" t="s">
        <v>653</v>
      </c>
      <c r="B3" s="414" t="s">
        <v>654</v>
      </c>
      <c r="C3" s="415" t="s">
        <v>655</v>
      </c>
      <c r="D3" s="416" t="s">
        <v>1042</v>
      </c>
      <c r="E3" s="416" t="s">
        <v>1043</v>
      </c>
      <c r="F3" s="550" t="s">
        <v>298</v>
      </c>
      <c r="G3" s="539" t="s">
        <v>1168</v>
      </c>
      <c r="H3" s="538" t="s">
        <v>1169</v>
      </c>
      <c r="I3" s="840" t="s">
        <v>816</v>
      </c>
      <c r="J3" s="423" t="s">
        <v>964</v>
      </c>
    </row>
    <row r="4" spans="1:10" ht="19.5" thickBot="1" x14ac:dyDescent="0.25">
      <c r="A4" s="761" t="s">
        <v>599</v>
      </c>
      <c r="B4" s="762"/>
      <c r="C4" s="762"/>
      <c r="D4" s="762"/>
      <c r="E4" s="762"/>
      <c r="F4" s="762"/>
      <c r="G4" s="762"/>
      <c r="H4" s="762"/>
      <c r="I4" s="762"/>
      <c r="J4" s="762"/>
    </row>
    <row r="5" spans="1:10" s="427" customFormat="1" ht="12.75" x14ac:dyDescent="0.2">
      <c r="A5" s="763" t="s">
        <v>902</v>
      </c>
      <c r="B5" s="431" t="s">
        <v>709</v>
      </c>
      <c r="C5" s="431" t="s">
        <v>618</v>
      </c>
      <c r="D5" s="444">
        <v>12</v>
      </c>
      <c r="E5" s="444">
        <v>0.09</v>
      </c>
      <c r="F5" s="551"/>
      <c r="G5" s="577"/>
      <c r="H5" s="578"/>
      <c r="I5" s="841">
        <v>7062</v>
      </c>
      <c r="J5" s="882">
        <v>5178.8</v>
      </c>
    </row>
    <row r="6" spans="1:10" s="427" customFormat="1" ht="12.75" x14ac:dyDescent="0.2">
      <c r="A6" s="764"/>
      <c r="B6" s="431" t="s">
        <v>891</v>
      </c>
      <c r="C6" s="426" t="s">
        <v>893</v>
      </c>
      <c r="D6" s="444">
        <v>15.5</v>
      </c>
      <c r="E6" s="444">
        <v>0.12</v>
      </c>
      <c r="F6" s="551"/>
      <c r="G6" s="577"/>
      <c r="H6" s="578"/>
      <c r="I6" s="842">
        <v>8827.5</v>
      </c>
      <c r="J6" s="882">
        <v>6473.5000000000009</v>
      </c>
    </row>
    <row r="7" spans="1:10" s="427" customFormat="1" ht="12.75" x14ac:dyDescent="0.2">
      <c r="A7" s="764"/>
      <c r="B7" s="431" t="s">
        <v>711</v>
      </c>
      <c r="C7" s="426" t="s">
        <v>759</v>
      </c>
      <c r="D7" s="444">
        <v>17.5</v>
      </c>
      <c r="E7" s="444">
        <v>0.14000000000000001</v>
      </c>
      <c r="F7" s="551"/>
      <c r="G7" s="577"/>
      <c r="H7" s="578"/>
      <c r="I7" s="842">
        <v>10945.5</v>
      </c>
      <c r="J7" s="882">
        <v>8026.7000000000007</v>
      </c>
    </row>
    <row r="8" spans="1:10" s="475" customFormat="1" ht="12.75" x14ac:dyDescent="0.2">
      <c r="A8" s="764"/>
      <c r="B8" s="436" t="s">
        <v>710</v>
      </c>
      <c r="C8" s="460" t="s">
        <v>106</v>
      </c>
      <c r="D8" s="461">
        <v>25</v>
      </c>
      <c r="E8" s="461">
        <v>0.18</v>
      </c>
      <c r="F8" s="551" t="s">
        <v>772</v>
      </c>
      <c r="G8" s="577">
        <v>18</v>
      </c>
      <c r="H8" s="578">
        <v>0.1</v>
      </c>
      <c r="I8" s="842">
        <v>17098.5</v>
      </c>
      <c r="J8" s="882">
        <v>12538.900000000001</v>
      </c>
    </row>
    <row r="9" spans="1:10" s="453" customFormat="1" ht="12.75" x14ac:dyDescent="0.2">
      <c r="A9" s="764"/>
      <c r="B9" s="460" t="s">
        <v>892</v>
      </c>
      <c r="C9" s="436" t="s">
        <v>894</v>
      </c>
      <c r="D9" s="461">
        <v>29</v>
      </c>
      <c r="E9" s="461">
        <v>0.25</v>
      </c>
      <c r="F9" s="551" t="s">
        <v>825</v>
      </c>
      <c r="G9" s="577">
        <v>22.6</v>
      </c>
      <c r="H9" s="578">
        <v>0.1</v>
      </c>
      <c r="I9" s="842">
        <v>20425.5</v>
      </c>
      <c r="J9" s="882">
        <v>14978.7</v>
      </c>
    </row>
    <row r="10" spans="1:10" s="453" customFormat="1" ht="12.75" x14ac:dyDescent="0.2">
      <c r="A10" s="764"/>
      <c r="B10" s="460" t="s">
        <v>712</v>
      </c>
      <c r="C10" s="475" t="s">
        <v>87</v>
      </c>
      <c r="D10" s="627">
        <v>40</v>
      </c>
      <c r="E10" s="454">
        <v>0.27</v>
      </c>
      <c r="F10" s="551" t="s">
        <v>776</v>
      </c>
      <c r="G10" s="577">
        <v>28.5</v>
      </c>
      <c r="H10" s="578">
        <v>0.11</v>
      </c>
      <c r="I10" s="842">
        <v>28464</v>
      </c>
      <c r="J10" s="882">
        <v>20873.600000000002</v>
      </c>
    </row>
    <row r="11" spans="1:10" s="456" customFormat="1" ht="13.5" thickBot="1" x14ac:dyDescent="0.25">
      <c r="A11" s="764"/>
      <c r="B11" s="437" t="s">
        <v>897</v>
      </c>
      <c r="C11" s="437" t="s">
        <v>619</v>
      </c>
      <c r="D11" s="455">
        <v>39</v>
      </c>
      <c r="E11" s="455">
        <v>0.25</v>
      </c>
      <c r="F11" s="555"/>
      <c r="G11" s="628"/>
      <c r="H11" s="629"/>
      <c r="I11" s="843">
        <v>30013.5</v>
      </c>
      <c r="J11" s="883">
        <v>22009.9</v>
      </c>
    </row>
    <row r="12" spans="1:10" s="453" customFormat="1" ht="13.5" thickTop="1" x14ac:dyDescent="0.2">
      <c r="A12" s="753" t="s">
        <v>1177</v>
      </c>
      <c r="B12" s="460" t="s">
        <v>1178</v>
      </c>
      <c r="C12" s="460" t="s">
        <v>1210</v>
      </c>
      <c r="D12" s="461">
        <v>14</v>
      </c>
      <c r="E12" s="461"/>
      <c r="F12" s="551"/>
      <c r="G12" s="577"/>
      <c r="H12" s="578"/>
      <c r="I12" s="842">
        <v>10708.5</v>
      </c>
      <c r="J12" s="882">
        <v>7852.9000000000005</v>
      </c>
    </row>
    <row r="13" spans="1:10" s="476" customFormat="1" ht="12.75" x14ac:dyDescent="0.2">
      <c r="A13" s="754"/>
      <c r="B13" s="489" t="s">
        <v>1179</v>
      </c>
      <c r="C13" s="489" t="s">
        <v>1211</v>
      </c>
      <c r="D13" s="490">
        <v>18.2</v>
      </c>
      <c r="E13" s="490"/>
      <c r="F13" s="562" t="s">
        <v>1000</v>
      </c>
      <c r="G13" s="630">
        <v>18.25</v>
      </c>
      <c r="H13" s="631"/>
      <c r="I13" s="844">
        <v>15759</v>
      </c>
      <c r="J13" s="884">
        <v>11556.6</v>
      </c>
    </row>
    <row r="14" spans="1:10" s="456" customFormat="1" ht="13.5" thickBot="1" x14ac:dyDescent="0.25">
      <c r="A14" s="755"/>
      <c r="B14" s="471" t="s">
        <v>1180</v>
      </c>
      <c r="C14" s="471" t="s">
        <v>1212</v>
      </c>
      <c r="D14" s="472">
        <v>30.65</v>
      </c>
      <c r="E14" s="472"/>
      <c r="F14" s="553"/>
      <c r="G14" s="581"/>
      <c r="H14" s="582"/>
      <c r="I14" s="845">
        <v>12688.5</v>
      </c>
      <c r="J14" s="885">
        <v>9304.9000000000015</v>
      </c>
    </row>
    <row r="15" spans="1:10" s="655" customFormat="1" ht="13.5" thickTop="1" x14ac:dyDescent="0.2">
      <c r="A15" s="767" t="s">
        <v>1170</v>
      </c>
      <c r="B15" s="652" t="s">
        <v>661</v>
      </c>
      <c r="C15" s="652" t="s">
        <v>355</v>
      </c>
      <c r="D15" s="653">
        <v>15</v>
      </c>
      <c r="E15" s="653">
        <v>0.02</v>
      </c>
      <c r="F15" s="654"/>
      <c r="G15" s="624"/>
      <c r="H15" s="625"/>
      <c r="I15" s="846">
        <v>27561.06</v>
      </c>
      <c r="J15" s="886">
        <v>20211.444000000003</v>
      </c>
    </row>
    <row r="16" spans="1:10" s="660" customFormat="1" ht="25.5" x14ac:dyDescent="0.2">
      <c r="A16" s="768"/>
      <c r="B16" s="656" t="s">
        <v>662</v>
      </c>
      <c r="C16" s="656" t="s">
        <v>96</v>
      </c>
      <c r="D16" s="657">
        <v>37.5</v>
      </c>
      <c r="E16" s="657">
        <v>0.22</v>
      </c>
      <c r="F16" s="618" t="s">
        <v>542</v>
      </c>
      <c r="G16" s="658">
        <v>28</v>
      </c>
      <c r="H16" s="659">
        <v>0.08</v>
      </c>
      <c r="I16" s="847">
        <v>40487.478000000003</v>
      </c>
      <c r="J16" s="887">
        <v>29690.817200000005</v>
      </c>
    </row>
    <row r="17" spans="1:10" s="666" customFormat="1" ht="13.5" thickBot="1" x14ac:dyDescent="0.25">
      <c r="A17" s="769"/>
      <c r="B17" s="661" t="s">
        <v>896</v>
      </c>
      <c r="C17" s="661" t="s">
        <v>82</v>
      </c>
      <c r="D17" s="662">
        <v>39</v>
      </c>
      <c r="E17" s="662">
        <v>0.24</v>
      </c>
      <c r="F17" s="663"/>
      <c r="G17" s="664"/>
      <c r="H17" s="665"/>
      <c r="I17" s="848">
        <v>21927.510000000002</v>
      </c>
      <c r="J17" s="888">
        <v>16080.174000000001</v>
      </c>
    </row>
    <row r="18" spans="1:10" s="453" customFormat="1" ht="13.5" thickTop="1" x14ac:dyDescent="0.2">
      <c r="A18" s="753" t="s">
        <v>1181</v>
      </c>
      <c r="B18" s="460" t="s">
        <v>1182</v>
      </c>
      <c r="C18" s="460" t="s">
        <v>1213</v>
      </c>
      <c r="D18" s="461"/>
      <c r="E18" s="461"/>
      <c r="F18" s="551"/>
      <c r="G18" s="577"/>
      <c r="H18" s="578"/>
      <c r="I18" s="842">
        <v>7788</v>
      </c>
      <c r="J18" s="882">
        <v>5711.2000000000007</v>
      </c>
    </row>
    <row r="19" spans="1:10" s="476" customFormat="1" ht="12.75" x14ac:dyDescent="0.2">
      <c r="A19" s="754"/>
      <c r="B19" s="489" t="s">
        <v>1183</v>
      </c>
      <c r="C19" s="489" t="s">
        <v>1214</v>
      </c>
      <c r="D19" s="490"/>
      <c r="E19" s="490"/>
      <c r="F19" s="562" t="s">
        <v>1185</v>
      </c>
      <c r="G19" s="630">
        <v>26</v>
      </c>
      <c r="H19" s="631"/>
      <c r="I19" s="844">
        <v>21105</v>
      </c>
      <c r="J19" s="884">
        <v>15477.000000000002</v>
      </c>
    </row>
    <row r="20" spans="1:10" s="456" customFormat="1" ht="13.5" thickBot="1" x14ac:dyDescent="0.25">
      <c r="A20" s="755"/>
      <c r="B20" s="471" t="s">
        <v>1184</v>
      </c>
      <c r="C20" s="471" t="s">
        <v>1215</v>
      </c>
      <c r="D20" s="472"/>
      <c r="E20" s="472"/>
      <c r="F20" s="553"/>
      <c r="G20" s="581"/>
      <c r="H20" s="582"/>
      <c r="I20" s="845">
        <v>11487</v>
      </c>
      <c r="J20" s="885">
        <v>8423.8000000000011</v>
      </c>
    </row>
    <row r="21" spans="1:10" s="660" customFormat="1" ht="13.5" customHeight="1" thickTop="1" x14ac:dyDescent="0.2">
      <c r="A21" s="767" t="s">
        <v>1005</v>
      </c>
      <c r="B21" s="477" t="s">
        <v>752</v>
      </c>
      <c r="C21" s="477" t="s">
        <v>92</v>
      </c>
      <c r="D21" s="667">
        <v>21.4</v>
      </c>
      <c r="E21" s="667">
        <v>0.14000000000000001</v>
      </c>
      <c r="F21" s="623" t="s">
        <v>799</v>
      </c>
      <c r="G21" s="668">
        <v>14</v>
      </c>
      <c r="H21" s="669">
        <v>0.03</v>
      </c>
      <c r="I21" s="849">
        <v>11236.5</v>
      </c>
      <c r="J21" s="889">
        <v>8240.1</v>
      </c>
    </row>
    <row r="22" spans="1:10" s="660" customFormat="1" ht="13.5" customHeight="1" x14ac:dyDescent="0.2">
      <c r="A22" s="768"/>
      <c r="B22" s="477" t="s">
        <v>752</v>
      </c>
      <c r="C22" s="477" t="s">
        <v>92</v>
      </c>
      <c r="D22" s="667">
        <v>21.4</v>
      </c>
      <c r="E22" s="667">
        <v>0.14000000000000001</v>
      </c>
      <c r="F22" s="623" t="s">
        <v>843</v>
      </c>
      <c r="G22" s="668"/>
      <c r="H22" s="669"/>
      <c r="I22" s="849">
        <v>11164.5</v>
      </c>
      <c r="J22" s="889">
        <v>8187.3000000000011</v>
      </c>
    </row>
    <row r="23" spans="1:10" s="666" customFormat="1" ht="25.5" customHeight="1" thickBot="1" x14ac:dyDescent="0.25">
      <c r="A23" s="769"/>
      <c r="B23" s="661" t="s">
        <v>895</v>
      </c>
      <c r="C23" s="661" t="s">
        <v>85</v>
      </c>
      <c r="D23" s="662">
        <v>34.799999999999997</v>
      </c>
      <c r="E23" s="662">
        <v>0.23</v>
      </c>
      <c r="F23" s="663"/>
      <c r="G23" s="664"/>
      <c r="H23" s="665"/>
      <c r="I23" s="848">
        <v>7500</v>
      </c>
      <c r="J23" s="888">
        <v>5500</v>
      </c>
    </row>
    <row r="24" spans="1:10" s="453" customFormat="1" ht="13.5" customHeight="1" thickTop="1" x14ac:dyDescent="0.2">
      <c r="A24" s="770" t="s">
        <v>903</v>
      </c>
      <c r="B24" s="460" t="s">
        <v>656</v>
      </c>
      <c r="C24" s="460" t="s">
        <v>73</v>
      </c>
      <c r="D24" s="461">
        <v>13.3</v>
      </c>
      <c r="E24" s="461">
        <v>7.0000000000000007E-2</v>
      </c>
      <c r="F24" s="551"/>
      <c r="G24" s="577"/>
      <c r="H24" s="578"/>
      <c r="I24" s="842">
        <v>6546</v>
      </c>
      <c r="J24" s="882">
        <v>4800.4000000000005</v>
      </c>
    </row>
    <row r="25" spans="1:10" s="453" customFormat="1" ht="12.75" customHeight="1" x14ac:dyDescent="0.2">
      <c r="A25" s="771"/>
      <c r="B25" s="436" t="s">
        <v>657</v>
      </c>
      <c r="C25" s="436" t="s">
        <v>72</v>
      </c>
      <c r="D25" s="454">
        <v>17</v>
      </c>
      <c r="E25" s="454">
        <v>0.09</v>
      </c>
      <c r="F25" s="552"/>
      <c r="G25" s="577"/>
      <c r="H25" s="578"/>
      <c r="I25" s="842">
        <v>8001</v>
      </c>
      <c r="J25" s="882">
        <v>5867.4000000000005</v>
      </c>
    </row>
    <row r="26" spans="1:10" s="427" customFormat="1" ht="12.75" customHeight="1" x14ac:dyDescent="0.2">
      <c r="A26" s="771"/>
      <c r="B26" s="426" t="s">
        <v>658</v>
      </c>
      <c r="C26" s="426" t="s">
        <v>71</v>
      </c>
      <c r="D26" s="441">
        <v>26.5</v>
      </c>
      <c r="E26" s="441">
        <v>0.14000000000000001</v>
      </c>
      <c r="F26" s="552"/>
      <c r="G26" s="577"/>
      <c r="H26" s="578"/>
      <c r="I26" s="842">
        <v>10456.5</v>
      </c>
      <c r="J26" s="882">
        <v>7668.1</v>
      </c>
    </row>
    <row r="27" spans="1:10" s="427" customFormat="1" ht="12.75" customHeight="1" x14ac:dyDescent="0.2">
      <c r="A27" s="771"/>
      <c r="B27" s="426" t="s">
        <v>1051</v>
      </c>
      <c r="C27" s="426" t="s">
        <v>114</v>
      </c>
      <c r="D27" s="441">
        <v>22</v>
      </c>
      <c r="E27" s="441">
        <v>0.13</v>
      </c>
      <c r="F27" s="552" t="s">
        <v>806</v>
      </c>
      <c r="G27" s="577">
        <v>8</v>
      </c>
      <c r="H27" s="578"/>
      <c r="I27" s="842">
        <v>13114.5</v>
      </c>
      <c r="J27" s="882">
        <v>9617.3000000000011</v>
      </c>
    </row>
    <row r="28" spans="1:10" s="427" customFormat="1" ht="12.75" customHeight="1" x14ac:dyDescent="0.2">
      <c r="A28" s="771"/>
      <c r="B28" s="426" t="s">
        <v>1051</v>
      </c>
      <c r="C28" s="426" t="s">
        <v>114</v>
      </c>
      <c r="D28" s="441">
        <v>22</v>
      </c>
      <c r="E28" s="441">
        <v>0.13</v>
      </c>
      <c r="F28" s="552" t="s">
        <v>1015</v>
      </c>
      <c r="G28" s="577"/>
      <c r="H28" s="578"/>
      <c r="I28" s="842">
        <v>13842</v>
      </c>
      <c r="J28" s="882">
        <v>10150.800000000001</v>
      </c>
    </row>
    <row r="29" spans="1:10" s="427" customFormat="1" ht="12.75" customHeight="1" x14ac:dyDescent="0.2">
      <c r="A29" s="771"/>
      <c r="B29" s="426" t="s">
        <v>659</v>
      </c>
      <c r="C29" s="426" t="s">
        <v>113</v>
      </c>
      <c r="D29" s="441">
        <v>24</v>
      </c>
      <c r="E29" s="441">
        <v>0.17</v>
      </c>
      <c r="F29" s="552" t="s">
        <v>806</v>
      </c>
      <c r="G29" s="577">
        <v>8</v>
      </c>
      <c r="H29" s="578"/>
      <c r="I29" s="842">
        <v>13671</v>
      </c>
      <c r="J29" s="882">
        <v>10025.400000000001</v>
      </c>
    </row>
    <row r="30" spans="1:10" s="427" customFormat="1" ht="12.75" customHeight="1" x14ac:dyDescent="0.2">
      <c r="A30" s="771"/>
      <c r="B30" s="426" t="s">
        <v>659</v>
      </c>
      <c r="C30" s="426" t="s">
        <v>113</v>
      </c>
      <c r="D30" s="441">
        <v>24</v>
      </c>
      <c r="E30" s="441">
        <v>0.17</v>
      </c>
      <c r="F30" s="552" t="s">
        <v>1015</v>
      </c>
      <c r="G30" s="577"/>
      <c r="H30" s="578"/>
      <c r="I30" s="842">
        <v>14398.5</v>
      </c>
      <c r="J30" s="882">
        <v>10558.900000000001</v>
      </c>
    </row>
    <row r="31" spans="1:10" s="432" customFormat="1" ht="12.75" x14ac:dyDescent="0.2">
      <c r="A31" s="771"/>
      <c r="B31" s="426" t="s">
        <v>660</v>
      </c>
      <c r="C31" s="426" t="s">
        <v>112</v>
      </c>
      <c r="D31" s="441">
        <v>36.5</v>
      </c>
      <c r="E31" s="441">
        <v>0.27</v>
      </c>
      <c r="F31" s="552" t="s">
        <v>806</v>
      </c>
      <c r="G31" s="579">
        <v>8</v>
      </c>
      <c r="H31" s="580"/>
      <c r="I31" s="850">
        <v>16126.5</v>
      </c>
      <c r="J31" s="890">
        <v>11826.1</v>
      </c>
    </row>
    <row r="32" spans="1:10" s="428" customFormat="1" ht="12.75" x14ac:dyDescent="0.2">
      <c r="A32" s="771"/>
      <c r="B32" s="426" t="s">
        <v>660</v>
      </c>
      <c r="C32" s="426" t="s">
        <v>112</v>
      </c>
      <c r="D32" s="441">
        <v>36.5</v>
      </c>
      <c r="E32" s="441">
        <v>0.27</v>
      </c>
      <c r="F32" s="552" t="s">
        <v>1015</v>
      </c>
      <c r="G32" s="577"/>
      <c r="H32" s="578"/>
      <c r="I32" s="842">
        <v>16854</v>
      </c>
      <c r="J32" s="882">
        <v>12359.6</v>
      </c>
    </row>
    <row r="33" spans="1:10" s="427" customFormat="1" ht="12.75" x14ac:dyDescent="0.2">
      <c r="A33" s="771"/>
      <c r="B33" s="431" t="s">
        <v>900</v>
      </c>
      <c r="C33" s="431" t="s">
        <v>78</v>
      </c>
      <c r="D33" s="444">
        <v>37.5</v>
      </c>
      <c r="E33" s="444">
        <v>0.22</v>
      </c>
      <c r="F33" s="551"/>
      <c r="G33" s="577"/>
      <c r="H33" s="578"/>
      <c r="I33" s="842">
        <v>14184</v>
      </c>
      <c r="J33" s="882">
        <v>10401.6</v>
      </c>
    </row>
    <row r="34" spans="1:10" s="427" customFormat="1" ht="12.75" x14ac:dyDescent="0.2">
      <c r="A34" s="771"/>
      <c r="B34" s="426" t="s">
        <v>901</v>
      </c>
      <c r="C34" s="426" t="s">
        <v>78</v>
      </c>
      <c r="D34" s="441">
        <v>39.5</v>
      </c>
      <c r="E34" s="441">
        <v>0.22</v>
      </c>
      <c r="F34" s="552"/>
      <c r="G34" s="577"/>
      <c r="H34" s="578"/>
      <c r="I34" s="842">
        <v>20002.5</v>
      </c>
      <c r="J34" s="882">
        <v>14668.500000000002</v>
      </c>
    </row>
    <row r="35" spans="1:10" s="427" customFormat="1" ht="12.75" x14ac:dyDescent="0.2">
      <c r="A35" s="771"/>
      <c r="B35" s="426" t="s">
        <v>899</v>
      </c>
      <c r="C35" s="426" t="s">
        <v>79</v>
      </c>
      <c r="D35" s="441">
        <v>26.5</v>
      </c>
      <c r="E35" s="441">
        <v>0.13</v>
      </c>
      <c r="F35" s="552"/>
      <c r="G35" s="577"/>
      <c r="H35" s="578"/>
      <c r="I35" s="842">
        <v>13638</v>
      </c>
      <c r="J35" s="882">
        <v>10001.200000000001</v>
      </c>
    </row>
    <row r="36" spans="1:10" s="450" customFormat="1" ht="13.5" thickBot="1" x14ac:dyDescent="0.25">
      <c r="A36" s="772"/>
      <c r="B36" s="429" t="s">
        <v>898</v>
      </c>
      <c r="C36" s="429" t="s">
        <v>79</v>
      </c>
      <c r="D36" s="443">
        <v>26</v>
      </c>
      <c r="E36" s="443">
        <v>0.13</v>
      </c>
      <c r="F36" s="555"/>
      <c r="G36" s="581"/>
      <c r="H36" s="582"/>
      <c r="I36" s="845">
        <v>13638</v>
      </c>
      <c r="J36" s="885">
        <v>10001.200000000001</v>
      </c>
    </row>
    <row r="37" spans="1:10" s="619" customFormat="1" ht="13.5" thickTop="1" x14ac:dyDescent="0.2">
      <c r="A37" s="767" t="s">
        <v>904</v>
      </c>
      <c r="B37" s="670" t="s">
        <v>1108</v>
      </c>
      <c r="C37" s="671" t="s">
        <v>1030</v>
      </c>
      <c r="D37" s="672">
        <v>8.3000000000000007</v>
      </c>
      <c r="E37" s="672">
        <v>0.06</v>
      </c>
      <c r="F37" s="673"/>
      <c r="G37" s="674"/>
      <c r="H37" s="675"/>
      <c r="I37" s="851">
        <v>6726</v>
      </c>
      <c r="J37" s="891">
        <v>4932.4000000000005</v>
      </c>
    </row>
    <row r="38" spans="1:10" s="626" customFormat="1" ht="13.5" customHeight="1" x14ac:dyDescent="0.2">
      <c r="A38" s="773"/>
      <c r="B38" s="652" t="s">
        <v>840</v>
      </c>
      <c r="C38" s="652" t="s">
        <v>355</v>
      </c>
      <c r="D38" s="653">
        <v>18</v>
      </c>
      <c r="E38" s="653">
        <v>0.02</v>
      </c>
      <c r="F38" s="654"/>
      <c r="G38" s="624"/>
      <c r="H38" s="625"/>
      <c r="I38" s="846">
        <v>3210</v>
      </c>
      <c r="J38" s="886">
        <v>2354</v>
      </c>
    </row>
    <row r="39" spans="1:10" s="626" customFormat="1" ht="12.75" x14ac:dyDescent="0.2">
      <c r="A39" s="773"/>
      <c r="B39" s="477" t="s">
        <v>1109</v>
      </c>
      <c r="C39" s="676" t="s">
        <v>1031</v>
      </c>
      <c r="D39" s="667">
        <v>27</v>
      </c>
      <c r="E39" s="667">
        <v>0.2</v>
      </c>
      <c r="F39" s="623" t="s">
        <v>1004</v>
      </c>
      <c r="G39" s="624">
        <v>18.600000000000001</v>
      </c>
      <c r="H39" s="625"/>
      <c r="I39" s="846">
        <v>22371</v>
      </c>
      <c r="J39" s="886">
        <v>16405.400000000001</v>
      </c>
    </row>
    <row r="40" spans="1:10" s="626" customFormat="1" ht="22.5" customHeight="1" x14ac:dyDescent="0.2">
      <c r="A40" s="773"/>
      <c r="B40" s="656" t="s">
        <v>708</v>
      </c>
      <c r="C40" s="656" t="s">
        <v>96</v>
      </c>
      <c r="D40" s="657">
        <v>30</v>
      </c>
      <c r="E40" s="657">
        <v>0.17</v>
      </c>
      <c r="F40" s="618" t="s">
        <v>1045</v>
      </c>
      <c r="G40" s="677">
        <v>29</v>
      </c>
      <c r="H40" s="678"/>
      <c r="I40" s="852">
        <v>39315</v>
      </c>
      <c r="J40" s="892">
        <v>28831.000000000004</v>
      </c>
    </row>
    <row r="41" spans="1:10" s="626" customFormat="1" ht="25.5" x14ac:dyDescent="0.2">
      <c r="A41" s="773"/>
      <c r="B41" s="656" t="s">
        <v>751</v>
      </c>
      <c r="C41" s="656" t="s">
        <v>96</v>
      </c>
      <c r="D41" s="657">
        <v>30</v>
      </c>
      <c r="E41" s="657">
        <v>0.17</v>
      </c>
      <c r="F41" s="618" t="s">
        <v>1045</v>
      </c>
      <c r="G41" s="677">
        <v>29</v>
      </c>
      <c r="H41" s="678"/>
      <c r="I41" s="852">
        <v>36686.01</v>
      </c>
      <c r="J41" s="892">
        <v>26903.074000000001</v>
      </c>
    </row>
    <row r="42" spans="1:10" s="626" customFormat="1" ht="12.75" customHeight="1" x14ac:dyDescent="0.2">
      <c r="A42" s="773"/>
      <c r="B42" s="679" t="s">
        <v>905</v>
      </c>
      <c r="C42" s="679" t="s">
        <v>649</v>
      </c>
      <c r="D42" s="680">
        <v>31</v>
      </c>
      <c r="E42" s="680">
        <v>0.22</v>
      </c>
      <c r="F42" s="681"/>
      <c r="G42" s="668"/>
      <c r="H42" s="669"/>
      <c r="I42" s="846">
        <v>28890</v>
      </c>
      <c r="J42" s="889">
        <v>21186</v>
      </c>
    </row>
    <row r="43" spans="1:10" s="685" customFormat="1" ht="12.75" customHeight="1" thickBot="1" x14ac:dyDescent="0.25">
      <c r="A43" s="774"/>
      <c r="B43" s="682" t="s">
        <v>906</v>
      </c>
      <c r="C43" s="682" t="s">
        <v>649</v>
      </c>
      <c r="D43" s="683">
        <v>31</v>
      </c>
      <c r="E43" s="683">
        <v>0.22</v>
      </c>
      <c r="F43" s="684"/>
      <c r="G43" s="664"/>
      <c r="H43" s="665"/>
      <c r="I43" s="848">
        <v>26482.5</v>
      </c>
      <c r="J43" s="888">
        <v>19420.5</v>
      </c>
    </row>
    <row r="44" spans="1:10" s="632" customFormat="1" ht="28.5" customHeight="1" thickTop="1" thickBot="1" x14ac:dyDescent="0.25">
      <c r="A44" s="765" t="s">
        <v>600</v>
      </c>
      <c r="B44" s="766"/>
      <c r="C44" s="766"/>
      <c r="D44" s="766"/>
      <c r="E44" s="766"/>
      <c r="F44" s="766"/>
      <c r="G44" s="766"/>
      <c r="H44" s="766"/>
      <c r="I44" s="766"/>
      <c r="J44" s="766"/>
    </row>
    <row r="45" spans="1:10" s="475" customFormat="1" ht="13.5" customHeight="1" thickTop="1" x14ac:dyDescent="0.2">
      <c r="A45" s="753" t="s">
        <v>1110</v>
      </c>
      <c r="B45" s="460" t="s">
        <v>1046</v>
      </c>
      <c r="C45" s="460" t="s">
        <v>1016</v>
      </c>
      <c r="D45" s="461">
        <v>18.100000000000001</v>
      </c>
      <c r="E45" s="461">
        <v>0.1</v>
      </c>
      <c r="F45" s="551"/>
      <c r="G45" s="583"/>
      <c r="H45" s="584"/>
      <c r="I45" s="818">
        <v>4284</v>
      </c>
      <c r="J45" s="860">
        <v>3141.6000000000004</v>
      </c>
    </row>
    <row r="46" spans="1:10" s="475" customFormat="1" ht="13.5" customHeight="1" x14ac:dyDescent="0.2">
      <c r="A46" s="754"/>
      <c r="B46" s="436" t="s">
        <v>1047</v>
      </c>
      <c r="C46" s="436" t="s">
        <v>1017</v>
      </c>
      <c r="D46" s="454">
        <v>20.100000000000001</v>
      </c>
      <c r="E46" s="454">
        <v>0.15</v>
      </c>
      <c r="F46" s="552"/>
      <c r="G46" s="583"/>
      <c r="H46" s="584"/>
      <c r="I46" s="819">
        <v>4575</v>
      </c>
      <c r="J46" s="860">
        <v>3355.0000000000005</v>
      </c>
    </row>
    <row r="47" spans="1:10" s="475" customFormat="1" ht="13.5" customHeight="1" x14ac:dyDescent="0.2">
      <c r="A47" s="754"/>
      <c r="B47" s="436" t="s">
        <v>972</v>
      </c>
      <c r="C47" s="436" t="s">
        <v>1018</v>
      </c>
      <c r="D47" s="454">
        <v>26.2</v>
      </c>
      <c r="E47" s="454">
        <v>0.13</v>
      </c>
      <c r="F47" s="552" t="s">
        <v>1231</v>
      </c>
      <c r="G47" s="583">
        <v>12.5</v>
      </c>
      <c r="H47" s="584"/>
      <c r="I47" s="819">
        <v>13123.5</v>
      </c>
      <c r="J47" s="860">
        <v>9623.9000000000015</v>
      </c>
    </row>
    <row r="48" spans="1:10" s="475" customFormat="1" ht="13.5" customHeight="1" x14ac:dyDescent="0.2">
      <c r="A48" s="754"/>
      <c r="B48" s="436" t="s">
        <v>973</v>
      </c>
      <c r="C48" s="436" t="s">
        <v>1019</v>
      </c>
      <c r="D48" s="454">
        <v>32</v>
      </c>
      <c r="E48" s="454">
        <v>0.25</v>
      </c>
      <c r="F48" s="552" t="s">
        <v>1232</v>
      </c>
      <c r="G48" s="583">
        <v>16</v>
      </c>
      <c r="H48" s="584"/>
      <c r="I48" s="819">
        <v>14727</v>
      </c>
      <c r="J48" s="860">
        <v>10799.800000000001</v>
      </c>
    </row>
    <row r="49" spans="1:10" s="456" customFormat="1" ht="13.5" customHeight="1" thickBot="1" x14ac:dyDescent="0.25">
      <c r="A49" s="755"/>
      <c r="B49" s="437" t="s">
        <v>974</v>
      </c>
      <c r="C49" s="437" t="s">
        <v>802</v>
      </c>
      <c r="D49" s="455">
        <v>31.1</v>
      </c>
      <c r="E49" s="455">
        <v>0.23</v>
      </c>
      <c r="F49" s="555"/>
      <c r="G49" s="585"/>
      <c r="H49" s="586"/>
      <c r="I49" s="820">
        <v>14797.5</v>
      </c>
      <c r="J49" s="861">
        <v>10851.5</v>
      </c>
    </row>
    <row r="50" spans="1:10" s="655" customFormat="1" ht="12.75" customHeight="1" thickTop="1" x14ac:dyDescent="0.2">
      <c r="A50" s="773" t="s">
        <v>1022</v>
      </c>
      <c r="B50" s="652" t="s">
        <v>1194</v>
      </c>
      <c r="C50" s="652" t="s">
        <v>92</v>
      </c>
      <c r="D50" s="653"/>
      <c r="E50" s="653"/>
      <c r="F50" s="654" t="s">
        <v>799</v>
      </c>
      <c r="G50" s="686"/>
      <c r="H50" s="687"/>
      <c r="I50" s="821">
        <v>7404</v>
      </c>
      <c r="J50" s="862">
        <v>5429.6</v>
      </c>
    </row>
    <row r="51" spans="1:10" s="655" customFormat="1" ht="12.75" customHeight="1" x14ac:dyDescent="0.2">
      <c r="A51" s="768"/>
      <c r="B51" s="477" t="s">
        <v>1195</v>
      </c>
      <c r="C51" s="477" t="s">
        <v>92</v>
      </c>
      <c r="D51" s="667"/>
      <c r="E51" s="667"/>
      <c r="F51" s="623" t="s">
        <v>843</v>
      </c>
      <c r="G51" s="686"/>
      <c r="H51" s="687"/>
      <c r="I51" s="821">
        <v>7332</v>
      </c>
      <c r="J51" s="862">
        <v>5376.8</v>
      </c>
    </row>
    <row r="52" spans="1:10" s="655" customFormat="1" ht="12.75" customHeight="1" x14ac:dyDescent="0.2">
      <c r="A52" s="768"/>
      <c r="B52" s="477" t="s">
        <v>908</v>
      </c>
      <c r="C52" s="477" t="s">
        <v>94</v>
      </c>
      <c r="D52" s="667"/>
      <c r="E52" s="667"/>
      <c r="F52" s="623" t="s">
        <v>800</v>
      </c>
      <c r="G52" s="686"/>
      <c r="H52" s="687"/>
      <c r="I52" s="821">
        <v>8074.5</v>
      </c>
      <c r="J52" s="862">
        <v>5921.3</v>
      </c>
    </row>
    <row r="53" spans="1:10" s="655" customFormat="1" ht="12.75" customHeight="1" x14ac:dyDescent="0.2">
      <c r="A53" s="768"/>
      <c r="B53" s="477" t="s">
        <v>908</v>
      </c>
      <c r="C53" s="477" t="s">
        <v>94</v>
      </c>
      <c r="D53" s="667"/>
      <c r="E53" s="667"/>
      <c r="F53" s="623" t="s">
        <v>844</v>
      </c>
      <c r="G53" s="686"/>
      <c r="H53" s="687"/>
      <c r="I53" s="821">
        <v>7965</v>
      </c>
      <c r="J53" s="862">
        <v>5841.0000000000009</v>
      </c>
    </row>
    <row r="54" spans="1:10" s="655" customFormat="1" ht="12.75" customHeight="1" x14ac:dyDescent="0.2">
      <c r="A54" s="768"/>
      <c r="B54" s="477" t="s">
        <v>907</v>
      </c>
      <c r="C54" s="477" t="s">
        <v>95</v>
      </c>
      <c r="D54" s="667"/>
      <c r="E54" s="667"/>
      <c r="F54" s="623" t="s">
        <v>818</v>
      </c>
      <c r="G54" s="686"/>
      <c r="H54" s="687"/>
      <c r="I54" s="821">
        <v>9448.5</v>
      </c>
      <c r="J54" s="862">
        <v>6928.9000000000005</v>
      </c>
    </row>
    <row r="55" spans="1:10" s="655" customFormat="1" ht="12.75" customHeight="1" x14ac:dyDescent="0.2">
      <c r="A55" s="768"/>
      <c r="B55" s="477" t="s">
        <v>907</v>
      </c>
      <c r="C55" s="477" t="s">
        <v>95</v>
      </c>
      <c r="D55" s="667"/>
      <c r="E55" s="667"/>
      <c r="F55" s="623" t="s">
        <v>845</v>
      </c>
      <c r="G55" s="686"/>
      <c r="H55" s="687"/>
      <c r="I55" s="821">
        <v>9324</v>
      </c>
      <c r="J55" s="862">
        <v>6837.6</v>
      </c>
    </row>
    <row r="56" spans="1:10" s="660" customFormat="1" ht="13.5" customHeight="1" x14ac:dyDescent="0.2">
      <c r="A56" s="768"/>
      <c r="B56" s="477" t="s">
        <v>935</v>
      </c>
      <c r="C56" s="477" t="s">
        <v>95</v>
      </c>
      <c r="D56" s="667"/>
      <c r="E56" s="667"/>
      <c r="F56" s="623" t="s">
        <v>818</v>
      </c>
      <c r="G56" s="690"/>
      <c r="H56" s="691"/>
      <c r="I56" s="822">
        <v>9861</v>
      </c>
      <c r="J56" s="863">
        <v>7231.4000000000005</v>
      </c>
    </row>
    <row r="57" spans="1:10" s="666" customFormat="1" ht="13.5" customHeight="1" thickBot="1" x14ac:dyDescent="0.25">
      <c r="A57" s="769"/>
      <c r="B57" s="682" t="s">
        <v>935</v>
      </c>
      <c r="C57" s="682" t="s">
        <v>95</v>
      </c>
      <c r="D57" s="683"/>
      <c r="E57" s="683"/>
      <c r="F57" s="684" t="s">
        <v>845</v>
      </c>
      <c r="G57" s="692"/>
      <c r="H57" s="693"/>
      <c r="I57" s="823">
        <v>9736.5</v>
      </c>
      <c r="J57" s="864">
        <v>7140.1</v>
      </c>
    </row>
    <row r="58" spans="1:10" s="626" customFormat="1" ht="12.75" customHeight="1" thickTop="1" x14ac:dyDescent="0.2">
      <c r="A58" s="758" t="s">
        <v>304</v>
      </c>
      <c r="B58" s="694" t="s">
        <v>909</v>
      </c>
      <c r="C58" s="694" t="s">
        <v>780</v>
      </c>
      <c r="D58" s="695">
        <v>13.8</v>
      </c>
      <c r="E58" s="695">
        <v>7.0000000000000007E-2</v>
      </c>
      <c r="F58" s="654"/>
      <c r="G58" s="686"/>
      <c r="H58" s="687"/>
      <c r="I58" s="821">
        <v>5786.0249999999996</v>
      </c>
      <c r="J58" s="862">
        <v>4243.085</v>
      </c>
    </row>
    <row r="59" spans="1:10" s="626" customFormat="1" ht="12.75" customHeight="1" x14ac:dyDescent="0.2">
      <c r="A59" s="758"/>
      <c r="B59" s="616" t="s">
        <v>781</v>
      </c>
      <c r="C59" s="616" t="s">
        <v>447</v>
      </c>
      <c r="D59" s="622">
        <v>18</v>
      </c>
      <c r="E59" s="622">
        <v>0.1</v>
      </c>
      <c r="F59" s="623"/>
      <c r="G59" s="686"/>
      <c r="H59" s="687"/>
      <c r="I59" s="821">
        <v>8761.5</v>
      </c>
      <c r="J59" s="862">
        <v>6425.1</v>
      </c>
    </row>
    <row r="60" spans="1:10" s="655" customFormat="1" ht="12.75" customHeight="1" x14ac:dyDescent="0.2">
      <c r="A60" s="758"/>
      <c r="B60" s="477" t="s">
        <v>783</v>
      </c>
      <c r="C60" s="477" t="s">
        <v>305</v>
      </c>
      <c r="D60" s="667">
        <v>16.2</v>
      </c>
      <c r="E60" s="667">
        <v>0.15</v>
      </c>
      <c r="F60" s="623" t="s">
        <v>788</v>
      </c>
      <c r="G60" s="686">
        <v>14.4</v>
      </c>
      <c r="H60" s="687"/>
      <c r="I60" s="821">
        <v>9924.75</v>
      </c>
      <c r="J60" s="862">
        <v>7278.1500000000005</v>
      </c>
    </row>
    <row r="61" spans="1:10" s="660" customFormat="1" ht="13.5" customHeight="1" x14ac:dyDescent="0.2">
      <c r="A61" s="758"/>
      <c r="B61" s="477" t="s">
        <v>1193</v>
      </c>
      <c r="C61" s="477" t="s">
        <v>449</v>
      </c>
      <c r="D61" s="667">
        <v>25.5</v>
      </c>
      <c r="E61" s="667">
        <v>0.24</v>
      </c>
      <c r="F61" s="623" t="s">
        <v>825</v>
      </c>
      <c r="G61" s="690">
        <v>17.7</v>
      </c>
      <c r="H61" s="691"/>
      <c r="I61" s="822">
        <v>18984</v>
      </c>
      <c r="J61" s="863">
        <v>13921.6</v>
      </c>
    </row>
    <row r="62" spans="1:10" s="685" customFormat="1" ht="14.25" customHeight="1" thickBot="1" x14ac:dyDescent="0.25">
      <c r="A62" s="759"/>
      <c r="B62" s="696" t="s">
        <v>782</v>
      </c>
      <c r="C62" s="696" t="s">
        <v>84</v>
      </c>
      <c r="D62" s="697">
        <v>32</v>
      </c>
      <c r="E62" s="697">
        <v>0.21</v>
      </c>
      <c r="F62" s="663"/>
      <c r="G62" s="698"/>
      <c r="H62" s="699"/>
      <c r="I62" s="824">
        <v>13143</v>
      </c>
      <c r="J62" s="865">
        <v>9638.2000000000007</v>
      </c>
    </row>
    <row r="63" spans="1:10" s="453" customFormat="1" ht="13.5" customHeight="1" thickTop="1" x14ac:dyDescent="0.2">
      <c r="A63" s="753" t="s">
        <v>1186</v>
      </c>
      <c r="B63" s="460" t="s">
        <v>1187</v>
      </c>
      <c r="C63" s="460" t="s">
        <v>1216</v>
      </c>
      <c r="D63" s="461">
        <v>5.8</v>
      </c>
      <c r="E63" s="461"/>
      <c r="F63" s="551"/>
      <c r="G63" s="577"/>
      <c r="H63" s="578"/>
      <c r="I63" s="825">
        <v>2530.5</v>
      </c>
      <c r="J63" s="866">
        <v>1855.7</v>
      </c>
    </row>
    <row r="64" spans="1:10" s="476" customFormat="1" ht="12.75" customHeight="1" x14ac:dyDescent="0.2">
      <c r="A64" s="756"/>
      <c r="B64" s="489" t="s">
        <v>1188</v>
      </c>
      <c r="C64" s="489" t="s">
        <v>1217</v>
      </c>
      <c r="D64" s="490">
        <v>17.600000000000001</v>
      </c>
      <c r="E64" s="490"/>
      <c r="F64" s="562" t="s">
        <v>1190</v>
      </c>
      <c r="G64" s="630">
        <v>19</v>
      </c>
      <c r="H64" s="631"/>
      <c r="I64" s="826">
        <v>10774.5</v>
      </c>
      <c r="J64" s="867">
        <v>7901.3000000000011</v>
      </c>
    </row>
    <row r="65" spans="1:10" s="476" customFormat="1" ht="13.5" customHeight="1" x14ac:dyDescent="0.2">
      <c r="A65" s="756"/>
      <c r="B65" s="489" t="s">
        <v>1191</v>
      </c>
      <c r="C65" s="460" t="s">
        <v>1218</v>
      </c>
      <c r="D65" s="461">
        <v>26.2</v>
      </c>
      <c r="E65" s="461"/>
      <c r="F65" s="562" t="s">
        <v>1190</v>
      </c>
      <c r="G65" s="577">
        <v>19</v>
      </c>
      <c r="H65" s="578"/>
      <c r="I65" s="825">
        <v>13890</v>
      </c>
      <c r="J65" s="866">
        <v>10186</v>
      </c>
    </row>
    <row r="66" spans="1:10" s="453" customFormat="1" ht="13.5" customHeight="1" x14ac:dyDescent="0.2">
      <c r="A66" s="756"/>
      <c r="B66" s="460" t="s">
        <v>1189</v>
      </c>
      <c r="C66" s="460" t="s">
        <v>1219</v>
      </c>
      <c r="D66" s="461">
        <v>24.2</v>
      </c>
      <c r="E66" s="461"/>
      <c r="F66" s="551"/>
      <c r="G66" s="577"/>
      <c r="H66" s="578"/>
      <c r="I66" s="825">
        <v>8275.5</v>
      </c>
      <c r="J66" s="866">
        <v>6068.7000000000007</v>
      </c>
    </row>
    <row r="67" spans="1:10" s="476" customFormat="1" ht="12.75" customHeight="1" thickBot="1" x14ac:dyDescent="0.25">
      <c r="A67" s="756"/>
      <c r="B67" s="460" t="s">
        <v>1192</v>
      </c>
      <c r="C67" s="489" t="s">
        <v>1220</v>
      </c>
      <c r="D67" s="490">
        <v>30.5</v>
      </c>
      <c r="E67" s="490"/>
      <c r="F67" s="562"/>
      <c r="G67" s="633"/>
      <c r="H67" s="634"/>
      <c r="I67" s="827">
        <v>10708.5</v>
      </c>
      <c r="J67" s="881">
        <v>7852.9000000000005</v>
      </c>
    </row>
    <row r="68" spans="1:10" s="626" customFormat="1" ht="13.5" customHeight="1" thickTop="1" x14ac:dyDescent="0.2">
      <c r="A68" s="780" t="s">
        <v>134</v>
      </c>
      <c r="B68" s="671" t="s">
        <v>889</v>
      </c>
      <c r="C68" s="671" t="s">
        <v>61</v>
      </c>
      <c r="D68" s="672">
        <v>7</v>
      </c>
      <c r="E68" s="672">
        <v>0.1</v>
      </c>
      <c r="F68" s="673"/>
      <c r="G68" s="686"/>
      <c r="H68" s="687"/>
      <c r="I68" s="821">
        <v>4494</v>
      </c>
      <c r="J68" s="862">
        <v>3295.6000000000004</v>
      </c>
    </row>
    <row r="69" spans="1:10" s="626" customFormat="1" ht="13.5" customHeight="1" x14ac:dyDescent="0.2">
      <c r="A69" s="758"/>
      <c r="B69" s="694" t="s">
        <v>925</v>
      </c>
      <c r="C69" s="694" t="s">
        <v>926</v>
      </c>
      <c r="D69" s="695">
        <v>7.5</v>
      </c>
      <c r="E69" s="695">
        <v>0.1</v>
      </c>
      <c r="F69" s="654"/>
      <c r="G69" s="686"/>
      <c r="H69" s="687"/>
      <c r="I69" s="821">
        <v>5617.5</v>
      </c>
      <c r="J69" s="862">
        <v>4119.5</v>
      </c>
    </row>
    <row r="70" spans="1:10" s="626" customFormat="1" ht="13.5" customHeight="1" x14ac:dyDescent="0.2">
      <c r="A70" s="758"/>
      <c r="B70" s="694" t="s">
        <v>1106</v>
      </c>
      <c r="C70" s="694" t="s">
        <v>1032</v>
      </c>
      <c r="D70" s="695">
        <v>12</v>
      </c>
      <c r="E70" s="695">
        <v>0.17</v>
      </c>
      <c r="F70" s="654"/>
      <c r="G70" s="686"/>
      <c r="H70" s="687"/>
      <c r="I70" s="821">
        <v>6018</v>
      </c>
      <c r="J70" s="862">
        <v>4413.2000000000007</v>
      </c>
    </row>
    <row r="71" spans="1:10" s="701" customFormat="1" ht="13.5" customHeight="1" x14ac:dyDescent="0.2">
      <c r="A71" s="758"/>
      <c r="B71" s="616" t="s">
        <v>890</v>
      </c>
      <c r="C71" s="616" t="s">
        <v>93</v>
      </c>
      <c r="D71" s="622">
        <v>26.7</v>
      </c>
      <c r="E71" s="622">
        <v>0.23</v>
      </c>
      <c r="F71" s="623" t="s">
        <v>948</v>
      </c>
      <c r="G71" s="686">
        <v>12</v>
      </c>
      <c r="H71" s="687"/>
      <c r="I71" s="821">
        <v>15418.050000000001</v>
      </c>
      <c r="J71" s="862">
        <v>11306.570000000002</v>
      </c>
    </row>
    <row r="72" spans="1:10" s="619" customFormat="1" ht="13.5" customHeight="1" x14ac:dyDescent="0.2">
      <c r="A72" s="758"/>
      <c r="B72" s="616" t="s">
        <v>927</v>
      </c>
      <c r="C72" s="702" t="s">
        <v>766</v>
      </c>
      <c r="D72" s="703">
        <v>34.5</v>
      </c>
      <c r="E72" s="703">
        <v>0.28999999999999998</v>
      </c>
      <c r="F72" s="623" t="s">
        <v>949</v>
      </c>
      <c r="G72" s="686">
        <v>22</v>
      </c>
      <c r="H72" s="687"/>
      <c r="I72" s="821">
        <v>16665</v>
      </c>
      <c r="J72" s="862">
        <v>12221.000000000002</v>
      </c>
    </row>
    <row r="73" spans="1:10" s="619" customFormat="1" ht="27" customHeight="1" x14ac:dyDescent="0.2">
      <c r="A73" s="758"/>
      <c r="B73" s="617" t="s">
        <v>1107</v>
      </c>
      <c r="C73" s="704" t="s">
        <v>1033</v>
      </c>
      <c r="D73" s="621">
        <v>45.3</v>
      </c>
      <c r="E73" s="621">
        <v>0.34</v>
      </c>
      <c r="F73" s="681" t="s">
        <v>542</v>
      </c>
      <c r="G73" s="705">
        <v>28</v>
      </c>
      <c r="H73" s="706"/>
      <c r="I73" s="828">
        <v>25593</v>
      </c>
      <c r="J73" s="868">
        <v>18768.2</v>
      </c>
    </row>
    <row r="74" spans="1:10" s="709" customFormat="1" ht="13.5" thickBot="1" x14ac:dyDescent="0.25">
      <c r="A74" s="759"/>
      <c r="B74" s="707" t="s">
        <v>1013</v>
      </c>
      <c r="C74" s="707" t="s">
        <v>80</v>
      </c>
      <c r="D74" s="708">
        <v>32</v>
      </c>
      <c r="E74" s="708">
        <v>0.25</v>
      </c>
      <c r="F74" s="684"/>
      <c r="G74" s="692"/>
      <c r="H74" s="693"/>
      <c r="I74" s="823">
        <v>12519</v>
      </c>
      <c r="J74" s="864">
        <v>9180.6</v>
      </c>
    </row>
    <row r="75" spans="1:10" s="428" customFormat="1" ht="13.5" thickTop="1" x14ac:dyDescent="0.2">
      <c r="A75" s="770" t="s">
        <v>1092</v>
      </c>
      <c r="B75" s="431" t="s">
        <v>1233</v>
      </c>
      <c r="C75" s="434" t="s">
        <v>1096</v>
      </c>
      <c r="D75" s="459">
        <v>13.5</v>
      </c>
      <c r="E75" s="459">
        <v>7.0000000000000007E-2</v>
      </c>
      <c r="F75" s="557"/>
      <c r="G75" s="635"/>
      <c r="H75" s="638"/>
      <c r="I75" s="819">
        <v>4089</v>
      </c>
      <c r="J75" s="860">
        <v>2998.6000000000004</v>
      </c>
    </row>
    <row r="76" spans="1:10" s="426" customFormat="1" ht="12.75" x14ac:dyDescent="0.2">
      <c r="A76" s="783"/>
      <c r="B76" s="426" t="s">
        <v>1234</v>
      </c>
      <c r="C76" s="426" t="s">
        <v>1097</v>
      </c>
      <c r="D76" s="636">
        <v>17.399999999999999</v>
      </c>
      <c r="E76" s="441">
        <v>0.1</v>
      </c>
      <c r="F76" s="552"/>
      <c r="G76" s="583"/>
      <c r="H76" s="584"/>
      <c r="I76" s="819">
        <v>4672.5</v>
      </c>
      <c r="J76" s="860">
        <v>3426.5000000000005</v>
      </c>
    </row>
    <row r="77" spans="1:10" s="426" customFormat="1" ht="12.75" x14ac:dyDescent="0.2">
      <c r="A77" s="783"/>
      <c r="B77" s="426" t="s">
        <v>1236</v>
      </c>
      <c r="C77" s="426" t="s">
        <v>1098</v>
      </c>
      <c r="D77" s="636">
        <v>23</v>
      </c>
      <c r="E77" s="441">
        <v>0.12</v>
      </c>
      <c r="F77" s="552"/>
      <c r="G77" s="583"/>
      <c r="H77" s="584"/>
      <c r="I77" s="819">
        <v>6522</v>
      </c>
      <c r="J77" s="860">
        <v>4782.8</v>
      </c>
    </row>
    <row r="78" spans="1:10" s="426" customFormat="1" ht="12.75" x14ac:dyDescent="0.2">
      <c r="A78" s="783"/>
      <c r="B78" s="426" t="s">
        <v>1093</v>
      </c>
      <c r="C78" s="426" t="s">
        <v>1099</v>
      </c>
      <c r="D78" s="636">
        <v>23.3</v>
      </c>
      <c r="E78" s="441">
        <v>0.17</v>
      </c>
      <c r="F78" s="552" t="s">
        <v>1102</v>
      </c>
      <c r="G78" s="583">
        <v>16.2</v>
      </c>
      <c r="H78" s="584"/>
      <c r="I78" s="819">
        <v>9529.5</v>
      </c>
      <c r="J78" s="860">
        <v>6988.3</v>
      </c>
    </row>
    <row r="79" spans="1:10" s="426" customFormat="1" ht="12.75" x14ac:dyDescent="0.2">
      <c r="A79" s="783"/>
      <c r="B79" s="426" t="s">
        <v>1094</v>
      </c>
      <c r="C79" s="426" t="s">
        <v>1100</v>
      </c>
      <c r="D79" s="636">
        <v>28.7</v>
      </c>
      <c r="E79" s="441">
        <v>0.2</v>
      </c>
      <c r="F79" s="552" t="s">
        <v>1103</v>
      </c>
      <c r="G79" s="583">
        <v>20.2</v>
      </c>
      <c r="H79" s="584"/>
      <c r="I79" s="819">
        <v>12100.5</v>
      </c>
      <c r="J79" s="860">
        <v>8873.7000000000007</v>
      </c>
    </row>
    <row r="80" spans="1:10" s="426" customFormat="1" ht="12.75" x14ac:dyDescent="0.2">
      <c r="A80" s="783"/>
      <c r="B80" s="426" t="s">
        <v>1095</v>
      </c>
      <c r="C80" s="426" t="s">
        <v>1105</v>
      </c>
      <c r="D80" s="636">
        <v>32.4</v>
      </c>
      <c r="E80" s="441">
        <v>0.28000000000000003</v>
      </c>
      <c r="F80" s="552" t="s">
        <v>1104</v>
      </c>
      <c r="G80" s="583">
        <v>21.6</v>
      </c>
      <c r="H80" s="584"/>
      <c r="I80" s="819">
        <v>15031.5</v>
      </c>
      <c r="J80" s="860">
        <v>11023.1</v>
      </c>
    </row>
    <row r="81" spans="1:10" s="450" customFormat="1" ht="13.5" thickBot="1" x14ac:dyDescent="0.25">
      <c r="A81" s="793"/>
      <c r="B81" s="429" t="s">
        <v>1235</v>
      </c>
      <c r="C81" s="448" t="s">
        <v>1101</v>
      </c>
      <c r="D81" s="449">
        <v>25.5</v>
      </c>
      <c r="E81" s="449">
        <v>0.18</v>
      </c>
      <c r="F81" s="553"/>
      <c r="G81" s="589"/>
      <c r="H81" s="590"/>
      <c r="I81" s="829">
        <v>8761.5</v>
      </c>
      <c r="J81" s="869">
        <v>6425.1</v>
      </c>
    </row>
    <row r="82" spans="1:10" s="453" customFormat="1" ht="13.5" thickTop="1" x14ac:dyDescent="0.2">
      <c r="A82" s="753" t="s">
        <v>1196</v>
      </c>
      <c r="B82" s="460" t="s">
        <v>1198</v>
      </c>
      <c r="C82" s="460" t="s">
        <v>1221</v>
      </c>
      <c r="D82" s="461">
        <v>12</v>
      </c>
      <c r="E82" s="461"/>
      <c r="F82" s="551"/>
      <c r="G82" s="577"/>
      <c r="H82" s="578"/>
      <c r="I82" s="825">
        <v>2044.5</v>
      </c>
      <c r="J82" s="866">
        <v>1499.3000000000002</v>
      </c>
    </row>
    <row r="83" spans="1:10" s="476" customFormat="1" ht="12.75" x14ac:dyDescent="0.2">
      <c r="A83" s="754"/>
      <c r="B83" s="489" t="s">
        <v>1197</v>
      </c>
      <c r="C83" s="489" t="s">
        <v>1222</v>
      </c>
      <c r="D83" s="490"/>
      <c r="E83" s="490"/>
      <c r="F83" s="562" t="s">
        <v>1199</v>
      </c>
      <c r="G83" s="630">
        <v>11</v>
      </c>
      <c r="H83" s="631"/>
      <c r="I83" s="826">
        <v>13320</v>
      </c>
      <c r="J83" s="867">
        <v>9768</v>
      </c>
    </row>
    <row r="84" spans="1:10" s="456" customFormat="1" ht="13.5" thickBot="1" x14ac:dyDescent="0.25">
      <c r="A84" s="755"/>
      <c r="B84" s="471" t="s">
        <v>1229</v>
      </c>
      <c r="C84" s="471" t="s">
        <v>1223</v>
      </c>
      <c r="D84" s="472">
        <v>32.6</v>
      </c>
      <c r="E84" s="472"/>
      <c r="F84" s="553"/>
      <c r="G84" s="581"/>
      <c r="H84" s="582"/>
      <c r="I84" s="830">
        <v>9832.5</v>
      </c>
      <c r="J84" s="870">
        <v>7210.5000000000009</v>
      </c>
    </row>
    <row r="85" spans="1:10" s="427" customFormat="1" ht="13.5" customHeight="1" thickTop="1" x14ac:dyDescent="0.2">
      <c r="A85" s="792" t="s">
        <v>137</v>
      </c>
      <c r="B85" s="431" t="s">
        <v>713</v>
      </c>
      <c r="C85" s="431" t="s">
        <v>2</v>
      </c>
      <c r="D85" s="444">
        <v>7.1</v>
      </c>
      <c r="E85" s="444">
        <v>0.06</v>
      </c>
      <c r="F85" s="551"/>
      <c r="G85" s="583"/>
      <c r="H85" s="584"/>
      <c r="I85" s="819">
        <v>7909.5</v>
      </c>
      <c r="J85" s="860">
        <v>5800.3</v>
      </c>
    </row>
    <row r="86" spans="1:10" s="427" customFormat="1" ht="12.75" customHeight="1" x14ac:dyDescent="0.2">
      <c r="A86" s="771"/>
      <c r="B86" s="426" t="s">
        <v>714</v>
      </c>
      <c r="C86" s="426" t="s">
        <v>3</v>
      </c>
      <c r="D86" s="441">
        <v>8.9</v>
      </c>
      <c r="E86" s="441">
        <v>0.08</v>
      </c>
      <c r="F86" s="552"/>
      <c r="G86" s="583"/>
      <c r="H86" s="584"/>
      <c r="I86" s="819">
        <v>9364.5</v>
      </c>
      <c r="J86" s="860">
        <v>6867.3</v>
      </c>
    </row>
    <row r="87" spans="1:10" s="427" customFormat="1" ht="12.75" customHeight="1" x14ac:dyDescent="0.2">
      <c r="A87" s="771"/>
      <c r="B87" s="426" t="s">
        <v>715</v>
      </c>
      <c r="C87" s="426" t="s">
        <v>4</v>
      </c>
      <c r="D87" s="441">
        <v>12.8</v>
      </c>
      <c r="E87" s="441">
        <v>0.13</v>
      </c>
      <c r="F87" s="552"/>
      <c r="G87" s="583"/>
      <c r="H87" s="584"/>
      <c r="I87" s="819">
        <v>12183</v>
      </c>
      <c r="J87" s="860">
        <v>8934.2000000000007</v>
      </c>
    </row>
    <row r="88" spans="1:10" s="427" customFormat="1" ht="12.75" customHeight="1" x14ac:dyDescent="0.2">
      <c r="A88" s="771"/>
      <c r="B88" s="426" t="s">
        <v>716</v>
      </c>
      <c r="C88" s="426" t="s">
        <v>5</v>
      </c>
      <c r="D88" s="441">
        <v>14.5</v>
      </c>
      <c r="E88" s="441">
        <v>0.15</v>
      </c>
      <c r="F88" s="552"/>
      <c r="G88" s="583"/>
      <c r="H88" s="584"/>
      <c r="I88" s="819">
        <v>12729</v>
      </c>
      <c r="J88" s="860">
        <v>9334.6</v>
      </c>
    </row>
    <row r="89" spans="1:10" s="453" customFormat="1" ht="12.75" customHeight="1" x14ac:dyDescent="0.2">
      <c r="A89" s="771"/>
      <c r="B89" s="436" t="s">
        <v>717</v>
      </c>
      <c r="C89" s="436" t="s">
        <v>90</v>
      </c>
      <c r="D89" s="454">
        <v>17.5</v>
      </c>
      <c r="E89" s="454">
        <v>0.16</v>
      </c>
      <c r="F89" s="552" t="s">
        <v>778</v>
      </c>
      <c r="G89" s="583">
        <v>15.2</v>
      </c>
      <c r="H89" s="584"/>
      <c r="I89" s="819">
        <v>12972</v>
      </c>
      <c r="J89" s="860">
        <v>9512.8000000000011</v>
      </c>
    </row>
    <row r="90" spans="1:10" s="453" customFormat="1" ht="12.75" customHeight="1" x14ac:dyDescent="0.2">
      <c r="A90" s="771"/>
      <c r="B90" s="436" t="s">
        <v>718</v>
      </c>
      <c r="C90" s="436" t="s">
        <v>91</v>
      </c>
      <c r="D90" s="454">
        <v>25</v>
      </c>
      <c r="E90" s="454">
        <v>0.21</v>
      </c>
      <c r="F90" s="552" t="s">
        <v>777</v>
      </c>
      <c r="G90" s="583">
        <v>22</v>
      </c>
      <c r="H90" s="584"/>
      <c r="I90" s="819">
        <v>16570.5</v>
      </c>
      <c r="J90" s="860">
        <v>12151.7</v>
      </c>
    </row>
    <row r="91" spans="1:10" s="427" customFormat="1" ht="12.75" customHeight="1" x14ac:dyDescent="0.2">
      <c r="A91" s="771"/>
      <c r="B91" s="424" t="s">
        <v>719</v>
      </c>
      <c r="C91" s="424" t="s">
        <v>792</v>
      </c>
      <c r="D91" s="445">
        <v>30.3</v>
      </c>
      <c r="E91" s="445">
        <v>0.3</v>
      </c>
      <c r="F91" s="562" t="s">
        <v>1002</v>
      </c>
      <c r="G91" s="595">
        <v>22</v>
      </c>
      <c r="H91" s="596"/>
      <c r="I91" s="831">
        <v>21325.5</v>
      </c>
      <c r="J91" s="871">
        <v>15638.7</v>
      </c>
    </row>
    <row r="92" spans="1:10" s="427" customFormat="1" ht="13.5" hidden="1" customHeight="1" thickBot="1" x14ac:dyDescent="0.25">
      <c r="A92" s="771"/>
      <c r="B92" s="426" t="s">
        <v>841</v>
      </c>
      <c r="C92" s="426" t="s">
        <v>88</v>
      </c>
      <c r="D92" s="441"/>
      <c r="E92" s="441"/>
      <c r="F92" s="552" t="s">
        <v>775</v>
      </c>
      <c r="G92" s="605"/>
      <c r="H92" s="606"/>
      <c r="I92" s="832">
        <v>29235.074999999997</v>
      </c>
      <c r="J92" s="872">
        <v>21439.055</v>
      </c>
    </row>
    <row r="93" spans="1:10" s="427" customFormat="1" ht="13.5" customHeight="1" x14ac:dyDescent="0.2">
      <c r="A93" s="771"/>
      <c r="B93" s="424" t="s">
        <v>934</v>
      </c>
      <c r="C93" s="426" t="s">
        <v>88</v>
      </c>
      <c r="D93" s="441">
        <v>34.799999999999997</v>
      </c>
      <c r="E93" s="441">
        <v>0.35</v>
      </c>
      <c r="F93" s="552" t="s">
        <v>1003</v>
      </c>
      <c r="G93" s="583">
        <v>27</v>
      </c>
      <c r="H93" s="584"/>
      <c r="I93" s="819">
        <v>27846</v>
      </c>
      <c r="J93" s="860">
        <v>20420.400000000001</v>
      </c>
    </row>
    <row r="94" spans="1:10" s="450" customFormat="1" ht="13.5" thickBot="1" x14ac:dyDescent="0.25">
      <c r="A94" s="772"/>
      <c r="B94" s="429" t="s">
        <v>910</v>
      </c>
      <c r="C94" s="429" t="s">
        <v>75</v>
      </c>
      <c r="D94" s="443">
        <v>34.5</v>
      </c>
      <c r="E94" s="443">
        <v>0.23</v>
      </c>
      <c r="F94" s="555"/>
      <c r="G94" s="585"/>
      <c r="H94" s="586"/>
      <c r="I94" s="820">
        <v>17821.5</v>
      </c>
      <c r="J94" s="861">
        <v>13069.1</v>
      </c>
    </row>
    <row r="95" spans="1:10" s="427" customFormat="1" ht="13.5" customHeight="1" thickTop="1" x14ac:dyDescent="0.2">
      <c r="A95" s="792" t="s">
        <v>138</v>
      </c>
      <c r="B95" s="431" t="s">
        <v>663</v>
      </c>
      <c r="C95" s="431" t="s">
        <v>10</v>
      </c>
      <c r="D95" s="444">
        <v>14.2</v>
      </c>
      <c r="E95" s="444">
        <v>7.0000000000000007E-2</v>
      </c>
      <c r="F95" s="551"/>
      <c r="G95" s="583"/>
      <c r="H95" s="584"/>
      <c r="I95" s="819">
        <v>4728</v>
      </c>
      <c r="J95" s="860">
        <v>3467.2000000000003</v>
      </c>
    </row>
    <row r="96" spans="1:10" s="427" customFormat="1" ht="12.75" customHeight="1" x14ac:dyDescent="0.2">
      <c r="A96" s="771"/>
      <c r="B96" s="426" t="s">
        <v>664</v>
      </c>
      <c r="C96" s="426" t="s">
        <v>11</v>
      </c>
      <c r="D96" s="441">
        <v>15.6</v>
      </c>
      <c r="E96" s="441">
        <v>0.08</v>
      </c>
      <c r="F96" s="552"/>
      <c r="G96" s="583"/>
      <c r="H96" s="584"/>
      <c r="I96" s="819">
        <v>5091</v>
      </c>
      <c r="J96" s="860">
        <v>3733.4</v>
      </c>
    </row>
    <row r="97" spans="1:10" s="427" customFormat="1" ht="12.75" customHeight="1" x14ac:dyDescent="0.2">
      <c r="A97" s="771"/>
      <c r="B97" s="426" t="s">
        <v>665</v>
      </c>
      <c r="C97" s="426" t="s">
        <v>796</v>
      </c>
      <c r="D97" s="441">
        <v>22</v>
      </c>
      <c r="E97" s="441">
        <v>0.1</v>
      </c>
      <c r="F97" s="552"/>
      <c r="G97" s="583"/>
      <c r="H97" s="584"/>
      <c r="I97" s="819">
        <v>6910.5</v>
      </c>
      <c r="J97" s="860">
        <v>5067.7000000000007</v>
      </c>
    </row>
    <row r="98" spans="1:10" s="453" customFormat="1" ht="12.75" customHeight="1" x14ac:dyDescent="0.2">
      <c r="A98" s="771"/>
      <c r="B98" s="436" t="s">
        <v>720</v>
      </c>
      <c r="C98" s="436" t="s">
        <v>92</v>
      </c>
      <c r="D98" s="454">
        <v>17.5</v>
      </c>
      <c r="E98" s="454">
        <v>0.14000000000000001</v>
      </c>
      <c r="F98" s="552" t="s">
        <v>799</v>
      </c>
      <c r="G98" s="583">
        <v>16.5</v>
      </c>
      <c r="H98" s="584"/>
      <c r="I98" s="819">
        <v>10651.5</v>
      </c>
      <c r="J98" s="860">
        <v>7811.1</v>
      </c>
    </row>
    <row r="99" spans="1:10" s="453" customFormat="1" ht="12.75" customHeight="1" x14ac:dyDescent="0.2">
      <c r="A99" s="771"/>
      <c r="B99" s="436" t="s">
        <v>720</v>
      </c>
      <c r="C99" s="436" t="s">
        <v>92</v>
      </c>
      <c r="D99" s="454"/>
      <c r="E99" s="454"/>
      <c r="F99" s="552" t="s">
        <v>843</v>
      </c>
      <c r="G99" s="583"/>
      <c r="H99" s="584"/>
      <c r="I99" s="819">
        <v>10579.5</v>
      </c>
      <c r="J99" s="860">
        <v>7758.3</v>
      </c>
    </row>
    <row r="100" spans="1:10" s="453" customFormat="1" ht="12.75" customHeight="1" x14ac:dyDescent="0.2">
      <c r="A100" s="771"/>
      <c r="B100" s="436" t="s">
        <v>721</v>
      </c>
      <c r="C100" s="436" t="s">
        <v>97</v>
      </c>
      <c r="D100" s="454">
        <v>26.7</v>
      </c>
      <c r="E100" s="454">
        <v>0.21</v>
      </c>
      <c r="F100" s="552" t="s">
        <v>799</v>
      </c>
      <c r="G100" s="583">
        <v>16.5</v>
      </c>
      <c r="H100" s="584"/>
      <c r="I100" s="819">
        <v>12742.5</v>
      </c>
      <c r="J100" s="860">
        <v>9344.5</v>
      </c>
    </row>
    <row r="101" spans="1:10" s="453" customFormat="1" ht="12.75" customHeight="1" x14ac:dyDescent="0.2">
      <c r="A101" s="771"/>
      <c r="B101" s="436" t="s">
        <v>721</v>
      </c>
      <c r="C101" s="436" t="s">
        <v>97</v>
      </c>
      <c r="D101" s="454"/>
      <c r="E101" s="454"/>
      <c r="F101" s="552" t="s">
        <v>843</v>
      </c>
      <c r="G101" s="583"/>
      <c r="H101" s="584"/>
      <c r="I101" s="819">
        <v>12670.5</v>
      </c>
      <c r="J101" s="860">
        <v>9291.7000000000007</v>
      </c>
    </row>
    <row r="102" spans="1:10" s="453" customFormat="1" ht="12.75" customHeight="1" x14ac:dyDescent="0.2">
      <c r="A102" s="771"/>
      <c r="B102" s="436" t="s">
        <v>722</v>
      </c>
      <c r="C102" s="436" t="s">
        <v>94</v>
      </c>
      <c r="D102" s="454">
        <v>21.5</v>
      </c>
      <c r="E102" s="454">
        <v>0.17</v>
      </c>
      <c r="F102" s="552" t="s">
        <v>800</v>
      </c>
      <c r="G102" s="583">
        <v>19.5</v>
      </c>
      <c r="H102" s="584"/>
      <c r="I102" s="819">
        <v>11430</v>
      </c>
      <c r="J102" s="860">
        <v>8382</v>
      </c>
    </row>
    <row r="103" spans="1:10" s="453" customFormat="1" ht="12.75" customHeight="1" x14ac:dyDescent="0.2">
      <c r="A103" s="771"/>
      <c r="B103" s="436" t="s">
        <v>722</v>
      </c>
      <c r="C103" s="436" t="s">
        <v>94</v>
      </c>
      <c r="D103" s="454"/>
      <c r="E103" s="454"/>
      <c r="F103" s="552" t="s">
        <v>844</v>
      </c>
      <c r="G103" s="583"/>
      <c r="H103" s="584"/>
      <c r="I103" s="819">
        <v>11320.5</v>
      </c>
      <c r="J103" s="860">
        <v>8301.7000000000007</v>
      </c>
    </row>
    <row r="104" spans="1:10" s="453" customFormat="1" ht="12.75" customHeight="1" x14ac:dyDescent="0.2">
      <c r="A104" s="771"/>
      <c r="B104" s="436" t="s">
        <v>723</v>
      </c>
      <c r="C104" s="436" t="s">
        <v>98</v>
      </c>
      <c r="D104" s="454">
        <v>31</v>
      </c>
      <c r="E104" s="454">
        <v>0.25</v>
      </c>
      <c r="F104" s="552" t="s">
        <v>800</v>
      </c>
      <c r="G104" s="583">
        <v>19.5</v>
      </c>
      <c r="H104" s="584"/>
      <c r="I104" s="819">
        <v>13429.5</v>
      </c>
      <c r="J104" s="860">
        <v>9848.3000000000011</v>
      </c>
    </row>
    <row r="105" spans="1:10" s="453" customFormat="1" ht="12.75" customHeight="1" x14ac:dyDescent="0.2">
      <c r="A105" s="771"/>
      <c r="B105" s="436" t="s">
        <v>723</v>
      </c>
      <c r="C105" s="436" t="s">
        <v>98</v>
      </c>
      <c r="D105" s="454"/>
      <c r="E105" s="454"/>
      <c r="F105" s="552" t="s">
        <v>844</v>
      </c>
      <c r="G105" s="583"/>
      <c r="H105" s="584"/>
      <c r="I105" s="819">
        <v>13320</v>
      </c>
      <c r="J105" s="860">
        <v>9768</v>
      </c>
    </row>
    <row r="106" spans="1:10" s="453" customFormat="1" ht="12.75" customHeight="1" x14ac:dyDescent="0.2">
      <c r="A106" s="771"/>
      <c r="B106" s="436" t="s">
        <v>724</v>
      </c>
      <c r="C106" s="436" t="s">
        <v>95</v>
      </c>
      <c r="D106" s="454">
        <v>25.5</v>
      </c>
      <c r="E106" s="454">
        <v>0.19</v>
      </c>
      <c r="F106" s="552" t="s">
        <v>818</v>
      </c>
      <c r="G106" s="583">
        <v>20.5</v>
      </c>
      <c r="H106" s="584"/>
      <c r="I106" s="819">
        <v>14415</v>
      </c>
      <c r="J106" s="860">
        <v>10571</v>
      </c>
    </row>
    <row r="107" spans="1:10" s="453" customFormat="1" ht="12.75" customHeight="1" x14ac:dyDescent="0.2">
      <c r="A107" s="771"/>
      <c r="B107" s="436" t="s">
        <v>724</v>
      </c>
      <c r="C107" s="436" t="s">
        <v>95</v>
      </c>
      <c r="D107" s="454"/>
      <c r="E107" s="454"/>
      <c r="F107" s="552" t="s">
        <v>845</v>
      </c>
      <c r="G107" s="583"/>
      <c r="H107" s="584"/>
      <c r="I107" s="819">
        <v>14290.5</v>
      </c>
      <c r="J107" s="860">
        <v>10479.700000000001</v>
      </c>
    </row>
    <row r="108" spans="1:10" s="476" customFormat="1" ht="13.5" customHeight="1" x14ac:dyDescent="0.2">
      <c r="A108" s="771"/>
      <c r="B108" s="436" t="s">
        <v>725</v>
      </c>
      <c r="C108" s="436" t="s">
        <v>99</v>
      </c>
      <c r="D108" s="454">
        <v>36</v>
      </c>
      <c r="E108" s="454">
        <v>0.28999999999999998</v>
      </c>
      <c r="F108" s="552" t="s">
        <v>818</v>
      </c>
      <c r="G108" s="583">
        <v>20.5</v>
      </c>
      <c r="H108" s="584"/>
      <c r="I108" s="819">
        <v>15778.5</v>
      </c>
      <c r="J108" s="860">
        <v>11570.900000000001</v>
      </c>
    </row>
    <row r="109" spans="1:10" s="476" customFormat="1" ht="13.5" customHeight="1" x14ac:dyDescent="0.2">
      <c r="A109" s="771"/>
      <c r="B109" s="436" t="s">
        <v>725</v>
      </c>
      <c r="C109" s="436" t="s">
        <v>99</v>
      </c>
      <c r="D109" s="454"/>
      <c r="E109" s="454"/>
      <c r="F109" s="552" t="s">
        <v>845</v>
      </c>
      <c r="G109" s="583"/>
      <c r="H109" s="584"/>
      <c r="I109" s="819">
        <v>15654</v>
      </c>
      <c r="J109" s="860">
        <v>11479.6</v>
      </c>
    </row>
    <row r="110" spans="1:10" s="456" customFormat="1" ht="13.5" thickBot="1" x14ac:dyDescent="0.25">
      <c r="A110" s="772"/>
      <c r="B110" s="471" t="s">
        <v>888</v>
      </c>
      <c r="C110" s="471" t="s">
        <v>83</v>
      </c>
      <c r="D110" s="472">
        <v>34.5</v>
      </c>
      <c r="E110" s="472">
        <v>0.2</v>
      </c>
      <c r="F110" s="553"/>
      <c r="G110" s="585"/>
      <c r="H110" s="586"/>
      <c r="I110" s="820">
        <v>11820</v>
      </c>
      <c r="J110" s="861">
        <v>8668</v>
      </c>
    </row>
    <row r="111" spans="1:10" s="428" customFormat="1" ht="13.5" thickTop="1" x14ac:dyDescent="0.2">
      <c r="A111" s="770" t="s">
        <v>1065</v>
      </c>
      <c r="B111" s="431" t="s">
        <v>1066</v>
      </c>
      <c r="C111" s="431" t="s">
        <v>1020</v>
      </c>
      <c r="D111" s="444">
        <v>10.8</v>
      </c>
      <c r="E111" s="444">
        <v>0.05</v>
      </c>
      <c r="F111" s="551"/>
      <c r="G111" s="583"/>
      <c r="H111" s="584"/>
      <c r="I111" s="819">
        <v>2475</v>
      </c>
      <c r="J111" s="860">
        <v>1815.0000000000002</v>
      </c>
    </row>
    <row r="112" spans="1:10" s="427" customFormat="1" ht="13.5" customHeight="1" x14ac:dyDescent="0.2">
      <c r="A112" s="783"/>
      <c r="B112" s="431" t="s">
        <v>1242</v>
      </c>
      <c r="C112" s="431" t="s">
        <v>9</v>
      </c>
      <c r="D112" s="444">
        <v>19.399999999999999</v>
      </c>
      <c r="E112" s="444">
        <v>0.08</v>
      </c>
      <c r="F112" s="551"/>
      <c r="G112" s="583"/>
      <c r="H112" s="584"/>
      <c r="I112" s="819">
        <v>4816.5</v>
      </c>
      <c r="J112" s="860">
        <v>3532.1000000000004</v>
      </c>
    </row>
    <row r="113" spans="1:10" s="427" customFormat="1" ht="12.75" customHeight="1" x14ac:dyDescent="0.2">
      <c r="A113" s="783"/>
      <c r="B113" s="426" t="s">
        <v>1237</v>
      </c>
      <c r="C113" s="426" t="s">
        <v>0</v>
      </c>
      <c r="D113" s="441">
        <v>23.5</v>
      </c>
      <c r="E113" s="441">
        <v>0.1</v>
      </c>
      <c r="F113" s="552"/>
      <c r="G113" s="583"/>
      <c r="H113" s="584"/>
      <c r="I113" s="819">
        <v>5251.5</v>
      </c>
      <c r="J113" s="860">
        <v>3851.1000000000004</v>
      </c>
    </row>
    <row r="114" spans="1:10" s="427" customFormat="1" ht="12.75" customHeight="1" x14ac:dyDescent="0.2">
      <c r="A114" s="783"/>
      <c r="B114" s="426" t="s">
        <v>1238</v>
      </c>
      <c r="C114" s="426" t="s">
        <v>15</v>
      </c>
      <c r="D114" s="441">
        <v>25.5</v>
      </c>
      <c r="E114" s="441">
        <v>0.11</v>
      </c>
      <c r="F114" s="552"/>
      <c r="G114" s="583"/>
      <c r="H114" s="584"/>
      <c r="I114" s="819">
        <v>6045</v>
      </c>
      <c r="J114" s="860">
        <v>4433</v>
      </c>
    </row>
    <row r="115" spans="1:10" s="626" customFormat="1" ht="12.75" customHeight="1" x14ac:dyDescent="0.2">
      <c r="A115" s="783"/>
      <c r="B115" s="616" t="s">
        <v>1052</v>
      </c>
      <c r="C115" s="616" t="s">
        <v>14</v>
      </c>
      <c r="D115" s="622">
        <v>26</v>
      </c>
      <c r="E115" s="622">
        <v>0.17</v>
      </c>
      <c r="F115" s="623"/>
      <c r="G115" s="686"/>
      <c r="H115" s="687"/>
      <c r="I115" s="821">
        <v>3000</v>
      </c>
      <c r="J115" s="862">
        <v>2200</v>
      </c>
    </row>
    <row r="116" spans="1:10" s="453" customFormat="1" ht="12.75" customHeight="1" x14ac:dyDescent="0.2">
      <c r="A116" s="783"/>
      <c r="B116" s="436" t="s">
        <v>666</v>
      </c>
      <c r="C116" s="436" t="s">
        <v>101</v>
      </c>
      <c r="D116" s="454">
        <v>30</v>
      </c>
      <c r="E116" s="454">
        <v>0.2</v>
      </c>
      <c r="F116" s="552" t="s">
        <v>799</v>
      </c>
      <c r="G116" s="583">
        <v>16.5</v>
      </c>
      <c r="H116" s="584"/>
      <c r="I116" s="819">
        <v>12892.5</v>
      </c>
      <c r="J116" s="860">
        <v>9454.5</v>
      </c>
    </row>
    <row r="117" spans="1:10" s="453" customFormat="1" ht="12.75" customHeight="1" x14ac:dyDescent="0.2">
      <c r="A117" s="783"/>
      <c r="B117" s="436" t="s">
        <v>666</v>
      </c>
      <c r="C117" s="436" t="s">
        <v>101</v>
      </c>
      <c r="D117" s="454"/>
      <c r="E117" s="454"/>
      <c r="F117" s="552" t="s">
        <v>843</v>
      </c>
      <c r="G117" s="583"/>
      <c r="H117" s="584"/>
      <c r="I117" s="819">
        <v>12820.5</v>
      </c>
      <c r="J117" s="860">
        <v>9401.7000000000007</v>
      </c>
    </row>
    <row r="118" spans="1:10" s="453" customFormat="1" ht="12.75" customHeight="1" x14ac:dyDescent="0.2">
      <c r="A118" s="783"/>
      <c r="B118" s="436" t="s">
        <v>1243</v>
      </c>
      <c r="C118" s="436" t="s">
        <v>101</v>
      </c>
      <c r="D118" s="454">
        <v>30</v>
      </c>
      <c r="E118" s="454">
        <v>0.2</v>
      </c>
      <c r="F118" s="552" t="s">
        <v>799</v>
      </c>
      <c r="G118" s="583">
        <v>16.5</v>
      </c>
      <c r="H118" s="584"/>
      <c r="I118" s="819">
        <v>11947.5</v>
      </c>
      <c r="J118" s="860">
        <v>8761.5</v>
      </c>
    </row>
    <row r="119" spans="1:10" s="453" customFormat="1" ht="12.75" customHeight="1" x14ac:dyDescent="0.2">
      <c r="A119" s="783"/>
      <c r="B119" s="436" t="s">
        <v>1243</v>
      </c>
      <c r="C119" s="436" t="s">
        <v>101</v>
      </c>
      <c r="D119" s="454"/>
      <c r="E119" s="454"/>
      <c r="F119" s="552" t="s">
        <v>843</v>
      </c>
      <c r="G119" s="583"/>
      <c r="H119" s="584"/>
      <c r="I119" s="819">
        <v>11875.5</v>
      </c>
      <c r="J119" s="860">
        <v>8708.7000000000007</v>
      </c>
    </row>
    <row r="120" spans="1:10" s="453" customFormat="1" ht="12.75" customHeight="1" x14ac:dyDescent="0.2">
      <c r="A120" s="783"/>
      <c r="B120" s="436" t="s">
        <v>667</v>
      </c>
      <c r="C120" s="436" t="s">
        <v>102</v>
      </c>
      <c r="D120" s="454">
        <v>32</v>
      </c>
      <c r="E120" s="454">
        <v>0.24</v>
      </c>
      <c r="F120" s="552" t="s">
        <v>800</v>
      </c>
      <c r="G120" s="583">
        <v>19.5</v>
      </c>
      <c r="H120" s="584"/>
      <c r="I120" s="819">
        <v>13776</v>
      </c>
      <c r="J120" s="860">
        <v>10102.400000000001</v>
      </c>
    </row>
    <row r="121" spans="1:10" s="453" customFormat="1" ht="12.75" customHeight="1" x14ac:dyDescent="0.2">
      <c r="A121" s="783"/>
      <c r="B121" s="436" t="s">
        <v>667</v>
      </c>
      <c r="C121" s="436" t="s">
        <v>102</v>
      </c>
      <c r="D121" s="454"/>
      <c r="E121" s="454"/>
      <c r="F121" s="552" t="s">
        <v>844</v>
      </c>
      <c r="G121" s="583"/>
      <c r="H121" s="584"/>
      <c r="I121" s="819">
        <v>13666.5</v>
      </c>
      <c r="J121" s="860">
        <v>10022.1</v>
      </c>
    </row>
    <row r="122" spans="1:10" s="453" customFormat="1" ht="12.75" customHeight="1" x14ac:dyDescent="0.2">
      <c r="A122" s="783"/>
      <c r="B122" s="436" t="s">
        <v>1239</v>
      </c>
      <c r="C122" s="436" t="s">
        <v>102</v>
      </c>
      <c r="D122" s="454">
        <v>32</v>
      </c>
      <c r="E122" s="454">
        <v>0.24</v>
      </c>
      <c r="F122" s="552" t="s">
        <v>800</v>
      </c>
      <c r="G122" s="583">
        <v>19.5</v>
      </c>
      <c r="H122" s="584"/>
      <c r="I122" s="819">
        <v>12642</v>
      </c>
      <c r="J122" s="860">
        <v>9270.8000000000011</v>
      </c>
    </row>
    <row r="123" spans="1:10" s="453" customFormat="1" ht="12.75" customHeight="1" x14ac:dyDescent="0.2">
      <c r="A123" s="783"/>
      <c r="B123" s="436" t="s">
        <v>1239</v>
      </c>
      <c r="C123" s="436" t="s">
        <v>102</v>
      </c>
      <c r="D123" s="454"/>
      <c r="E123" s="454"/>
      <c r="F123" s="552" t="s">
        <v>844</v>
      </c>
      <c r="G123" s="583"/>
      <c r="H123" s="584"/>
      <c r="I123" s="819">
        <v>12532.5</v>
      </c>
      <c r="J123" s="860">
        <v>9190.5</v>
      </c>
    </row>
    <row r="124" spans="1:10" s="453" customFormat="1" ht="12.75" customHeight="1" x14ac:dyDescent="0.2">
      <c r="A124" s="783"/>
      <c r="B124" s="436" t="s">
        <v>668</v>
      </c>
      <c r="C124" s="436" t="s">
        <v>758</v>
      </c>
      <c r="D124" s="454">
        <v>35</v>
      </c>
      <c r="E124" s="454">
        <v>0.28000000000000003</v>
      </c>
      <c r="F124" s="552" t="s">
        <v>818</v>
      </c>
      <c r="G124" s="583">
        <v>20.5</v>
      </c>
      <c r="H124" s="584"/>
      <c r="I124" s="819">
        <v>15793.5</v>
      </c>
      <c r="J124" s="860">
        <v>11581.900000000001</v>
      </c>
    </row>
    <row r="125" spans="1:10" s="453" customFormat="1" ht="12.75" customHeight="1" x14ac:dyDescent="0.2">
      <c r="A125" s="783"/>
      <c r="B125" s="436" t="s">
        <v>668</v>
      </c>
      <c r="C125" s="436" t="s">
        <v>758</v>
      </c>
      <c r="D125" s="454"/>
      <c r="E125" s="454"/>
      <c r="F125" s="552" t="s">
        <v>845</v>
      </c>
      <c r="G125" s="583"/>
      <c r="H125" s="584"/>
      <c r="I125" s="819">
        <v>15669</v>
      </c>
      <c r="J125" s="860">
        <v>11490.6</v>
      </c>
    </row>
    <row r="126" spans="1:10" s="453" customFormat="1" ht="12.75" customHeight="1" x14ac:dyDescent="0.2">
      <c r="A126" s="783"/>
      <c r="B126" s="436" t="s">
        <v>1240</v>
      </c>
      <c r="C126" s="436" t="s">
        <v>758</v>
      </c>
      <c r="D126" s="454">
        <v>35</v>
      </c>
      <c r="E126" s="454">
        <v>0.28000000000000003</v>
      </c>
      <c r="F126" s="552" t="s">
        <v>818</v>
      </c>
      <c r="G126" s="583">
        <v>20.5</v>
      </c>
      <c r="H126" s="584"/>
      <c r="I126" s="819">
        <v>14187</v>
      </c>
      <c r="J126" s="860">
        <v>10403.800000000001</v>
      </c>
    </row>
    <row r="127" spans="1:10" s="453" customFormat="1" ht="12.75" customHeight="1" x14ac:dyDescent="0.2">
      <c r="A127" s="783"/>
      <c r="B127" s="436" t="s">
        <v>1240</v>
      </c>
      <c r="C127" s="436" t="s">
        <v>758</v>
      </c>
      <c r="D127" s="454"/>
      <c r="E127" s="454"/>
      <c r="F127" s="552" t="s">
        <v>845</v>
      </c>
      <c r="G127" s="583"/>
      <c r="H127" s="584"/>
      <c r="I127" s="819">
        <v>14062.5</v>
      </c>
      <c r="J127" s="860">
        <v>10312.5</v>
      </c>
    </row>
    <row r="128" spans="1:10" s="453" customFormat="1" ht="25.5" x14ac:dyDescent="0.2">
      <c r="A128" s="783"/>
      <c r="B128" s="436" t="s">
        <v>1200</v>
      </c>
      <c r="C128" s="436"/>
      <c r="D128" s="454"/>
      <c r="E128" s="454"/>
      <c r="F128" s="552" t="s">
        <v>1088</v>
      </c>
      <c r="G128" s="583"/>
      <c r="H128" s="584"/>
      <c r="I128" s="819">
        <v>25458</v>
      </c>
      <c r="J128" s="860">
        <v>18669.2</v>
      </c>
    </row>
    <row r="129" spans="1:10" s="427" customFormat="1" ht="12.75" customHeight="1" x14ac:dyDescent="0.2">
      <c r="A129" s="783"/>
      <c r="B129" s="431" t="s">
        <v>1230</v>
      </c>
      <c r="C129" s="431" t="s">
        <v>76</v>
      </c>
      <c r="D129" s="444">
        <v>41.5</v>
      </c>
      <c r="E129" s="444">
        <v>0.25</v>
      </c>
      <c r="F129" s="551"/>
      <c r="G129" s="583"/>
      <c r="H129" s="584"/>
      <c r="I129" s="819">
        <v>12846</v>
      </c>
      <c r="J129" s="860">
        <v>9420.4000000000015</v>
      </c>
    </row>
    <row r="130" spans="1:10" s="450" customFormat="1" ht="13.5" customHeight="1" thickBot="1" x14ac:dyDescent="0.25">
      <c r="A130" s="793"/>
      <c r="B130" s="429" t="s">
        <v>1244</v>
      </c>
      <c r="C130" s="429" t="s">
        <v>76</v>
      </c>
      <c r="D130" s="443">
        <v>41.5</v>
      </c>
      <c r="E130" s="443">
        <v>0.25</v>
      </c>
      <c r="F130" s="555"/>
      <c r="G130" s="589"/>
      <c r="H130" s="590"/>
      <c r="I130" s="829">
        <v>10390.5</v>
      </c>
      <c r="J130" s="869">
        <v>7619.7000000000007</v>
      </c>
    </row>
    <row r="131" spans="1:10" s="453" customFormat="1" ht="13.5" customHeight="1" thickTop="1" x14ac:dyDescent="0.2">
      <c r="A131" s="753" t="s">
        <v>807</v>
      </c>
      <c r="B131" s="460" t="s">
        <v>1241</v>
      </c>
      <c r="C131" s="460" t="s">
        <v>1021</v>
      </c>
      <c r="D131" s="461">
        <v>8.85</v>
      </c>
      <c r="E131" s="461">
        <v>7.0000000000000007E-2</v>
      </c>
      <c r="F131" s="551" t="s">
        <v>1034</v>
      </c>
      <c r="G131" s="583">
        <v>9</v>
      </c>
      <c r="H131" s="584"/>
      <c r="I131" s="819">
        <v>4140</v>
      </c>
      <c r="J131" s="860">
        <v>3036.0000000000005</v>
      </c>
    </row>
    <row r="132" spans="1:10" s="453" customFormat="1" ht="13.5" customHeight="1" x14ac:dyDescent="0.2">
      <c r="A132" s="756"/>
      <c r="B132" s="460" t="s">
        <v>669</v>
      </c>
      <c r="C132" s="460" t="s">
        <v>650</v>
      </c>
      <c r="D132" s="461">
        <v>22</v>
      </c>
      <c r="E132" s="461">
        <v>0.13</v>
      </c>
      <c r="F132" s="551" t="s">
        <v>799</v>
      </c>
      <c r="G132" s="583">
        <v>16.5</v>
      </c>
      <c r="H132" s="584"/>
      <c r="I132" s="819">
        <v>12703.5</v>
      </c>
      <c r="J132" s="860">
        <v>9315.9000000000015</v>
      </c>
    </row>
    <row r="133" spans="1:10" s="453" customFormat="1" ht="13.5" customHeight="1" x14ac:dyDescent="0.2">
      <c r="A133" s="756"/>
      <c r="B133" s="460" t="s">
        <v>669</v>
      </c>
      <c r="C133" s="460" t="s">
        <v>650</v>
      </c>
      <c r="D133" s="461"/>
      <c r="E133" s="461"/>
      <c r="F133" s="552" t="s">
        <v>843</v>
      </c>
      <c r="G133" s="583"/>
      <c r="H133" s="584"/>
      <c r="I133" s="819">
        <v>12631.5</v>
      </c>
      <c r="J133" s="860">
        <v>9263.1</v>
      </c>
    </row>
    <row r="134" spans="1:10" s="453" customFormat="1" ht="12.75" customHeight="1" x14ac:dyDescent="0.2">
      <c r="A134" s="754"/>
      <c r="B134" s="436" t="s">
        <v>1245</v>
      </c>
      <c r="C134" s="436" t="s">
        <v>650</v>
      </c>
      <c r="D134" s="454">
        <v>22</v>
      </c>
      <c r="E134" s="454">
        <v>0.13</v>
      </c>
      <c r="F134" s="552" t="s">
        <v>799</v>
      </c>
      <c r="G134" s="583">
        <v>16.5</v>
      </c>
      <c r="H134" s="584"/>
      <c r="I134" s="819">
        <v>11758.5</v>
      </c>
      <c r="J134" s="860">
        <v>8622.9000000000015</v>
      </c>
    </row>
    <row r="135" spans="1:10" s="453" customFormat="1" ht="12.75" customHeight="1" x14ac:dyDescent="0.2">
      <c r="A135" s="754"/>
      <c r="B135" s="436" t="s">
        <v>1245</v>
      </c>
      <c r="C135" s="436" t="s">
        <v>650</v>
      </c>
      <c r="D135" s="454"/>
      <c r="E135" s="454"/>
      <c r="F135" s="552" t="s">
        <v>843</v>
      </c>
      <c r="G135" s="583"/>
      <c r="H135" s="584"/>
      <c r="I135" s="819">
        <v>11686.5</v>
      </c>
      <c r="J135" s="860">
        <v>8570.1</v>
      </c>
    </row>
    <row r="136" spans="1:10" s="453" customFormat="1" ht="12.75" customHeight="1" x14ac:dyDescent="0.2">
      <c r="A136" s="754"/>
      <c r="B136" s="436" t="s">
        <v>670</v>
      </c>
      <c r="C136" s="436" t="s">
        <v>651</v>
      </c>
      <c r="D136" s="454">
        <v>23.5</v>
      </c>
      <c r="E136" s="454">
        <v>0.16</v>
      </c>
      <c r="F136" s="552" t="s">
        <v>800</v>
      </c>
      <c r="G136" s="583">
        <v>19.5</v>
      </c>
      <c r="H136" s="584"/>
      <c r="I136" s="819">
        <v>13303.5</v>
      </c>
      <c r="J136" s="860">
        <v>9755.9000000000015</v>
      </c>
    </row>
    <row r="137" spans="1:10" s="453" customFormat="1" ht="12.75" customHeight="1" x14ac:dyDescent="0.2">
      <c r="A137" s="754"/>
      <c r="B137" s="436" t="s">
        <v>670</v>
      </c>
      <c r="C137" s="436" t="s">
        <v>651</v>
      </c>
      <c r="D137" s="454"/>
      <c r="E137" s="454"/>
      <c r="F137" s="552" t="s">
        <v>844</v>
      </c>
      <c r="G137" s="583"/>
      <c r="H137" s="584"/>
      <c r="I137" s="819">
        <v>13194</v>
      </c>
      <c r="J137" s="860">
        <v>9675.6</v>
      </c>
    </row>
    <row r="138" spans="1:10" s="453" customFormat="1" ht="12.75" customHeight="1" x14ac:dyDescent="0.2">
      <c r="A138" s="754"/>
      <c r="B138" s="436" t="s">
        <v>1067</v>
      </c>
      <c r="C138" s="436" t="s">
        <v>651</v>
      </c>
      <c r="D138" s="454">
        <v>23.5</v>
      </c>
      <c r="E138" s="454">
        <v>0.16</v>
      </c>
      <c r="F138" s="552" t="s">
        <v>800</v>
      </c>
      <c r="G138" s="583">
        <v>19.5</v>
      </c>
      <c r="H138" s="584"/>
      <c r="I138" s="819">
        <v>12358.5</v>
      </c>
      <c r="J138" s="860">
        <v>9062.9000000000015</v>
      </c>
    </row>
    <row r="139" spans="1:10" s="453" customFormat="1" ht="12.75" customHeight="1" x14ac:dyDescent="0.2">
      <c r="A139" s="754"/>
      <c r="B139" s="436" t="s">
        <v>1067</v>
      </c>
      <c r="C139" s="436" t="s">
        <v>651</v>
      </c>
      <c r="D139" s="454"/>
      <c r="E139" s="454"/>
      <c r="F139" s="552" t="s">
        <v>844</v>
      </c>
      <c r="G139" s="583"/>
      <c r="H139" s="584"/>
      <c r="I139" s="819">
        <v>12249</v>
      </c>
      <c r="J139" s="860">
        <v>8982.6</v>
      </c>
    </row>
    <row r="140" spans="1:10" s="453" customFormat="1" ht="12.75" customHeight="1" x14ac:dyDescent="0.2">
      <c r="A140" s="754"/>
      <c r="B140" s="436" t="s">
        <v>671</v>
      </c>
      <c r="C140" s="436" t="s">
        <v>652</v>
      </c>
      <c r="D140" s="454">
        <v>26</v>
      </c>
      <c r="E140" s="454">
        <v>0.18</v>
      </c>
      <c r="F140" s="552" t="s">
        <v>818</v>
      </c>
      <c r="G140" s="583">
        <v>20.5</v>
      </c>
      <c r="H140" s="584"/>
      <c r="I140" s="819">
        <v>15321</v>
      </c>
      <c r="J140" s="860">
        <v>11235.400000000001</v>
      </c>
    </row>
    <row r="141" spans="1:10" s="453" customFormat="1" ht="12.75" customHeight="1" x14ac:dyDescent="0.2">
      <c r="A141" s="754"/>
      <c r="B141" s="436" t="s">
        <v>671</v>
      </c>
      <c r="C141" s="436" t="s">
        <v>652</v>
      </c>
      <c r="D141" s="454"/>
      <c r="E141" s="454"/>
      <c r="F141" s="552" t="s">
        <v>845</v>
      </c>
      <c r="G141" s="583"/>
      <c r="H141" s="584"/>
      <c r="I141" s="819">
        <v>15196.5</v>
      </c>
      <c r="J141" s="860">
        <v>11144.1</v>
      </c>
    </row>
    <row r="142" spans="1:10" s="476" customFormat="1" ht="13.5" customHeight="1" x14ac:dyDescent="0.2">
      <c r="A142" s="754"/>
      <c r="B142" s="436" t="s">
        <v>1246</v>
      </c>
      <c r="C142" s="436" t="s">
        <v>652</v>
      </c>
      <c r="D142" s="454">
        <v>26</v>
      </c>
      <c r="E142" s="454">
        <v>0.18</v>
      </c>
      <c r="F142" s="552" t="s">
        <v>818</v>
      </c>
      <c r="G142" s="587">
        <v>20.5</v>
      </c>
      <c r="H142" s="588"/>
      <c r="I142" s="833">
        <v>13998</v>
      </c>
      <c r="J142" s="873">
        <v>10265.200000000001</v>
      </c>
    </row>
    <row r="143" spans="1:10" s="476" customFormat="1" ht="13.5" customHeight="1" x14ac:dyDescent="0.2">
      <c r="A143" s="754"/>
      <c r="B143" s="436" t="s">
        <v>1246</v>
      </c>
      <c r="C143" s="436" t="s">
        <v>652</v>
      </c>
      <c r="D143" s="454"/>
      <c r="E143" s="454"/>
      <c r="F143" s="552" t="s">
        <v>845</v>
      </c>
      <c r="G143" s="587"/>
      <c r="H143" s="588"/>
      <c r="I143" s="833">
        <v>13873.5</v>
      </c>
      <c r="J143" s="873">
        <v>10173.900000000001</v>
      </c>
    </row>
    <row r="144" spans="1:10" s="453" customFormat="1" ht="12.75" x14ac:dyDescent="0.2">
      <c r="A144" s="754"/>
      <c r="B144" s="460" t="s">
        <v>911</v>
      </c>
      <c r="C144" s="460" t="s">
        <v>741</v>
      </c>
      <c r="D144" s="461">
        <v>36</v>
      </c>
      <c r="E144" s="461">
        <v>0.22</v>
      </c>
      <c r="F144" s="551"/>
      <c r="G144" s="583"/>
      <c r="H144" s="584"/>
      <c r="I144" s="819">
        <v>11334</v>
      </c>
      <c r="J144" s="860">
        <v>8311.6</v>
      </c>
    </row>
    <row r="145" spans="1:10" s="456" customFormat="1" ht="13.5" thickBot="1" x14ac:dyDescent="0.25">
      <c r="A145" s="755"/>
      <c r="B145" s="437" t="s">
        <v>1068</v>
      </c>
      <c r="C145" s="437" t="s">
        <v>741</v>
      </c>
      <c r="D145" s="455">
        <v>36</v>
      </c>
      <c r="E145" s="455">
        <v>0.22</v>
      </c>
      <c r="F145" s="555"/>
      <c r="G145" s="589"/>
      <c r="H145" s="590"/>
      <c r="I145" s="829">
        <v>9067.5</v>
      </c>
      <c r="J145" s="869">
        <v>6649.5000000000009</v>
      </c>
    </row>
    <row r="146" spans="1:10" s="626" customFormat="1" ht="26.25" customHeight="1" thickTop="1" x14ac:dyDescent="0.2">
      <c r="A146" s="799" t="s">
        <v>1069</v>
      </c>
      <c r="B146" s="694" t="s">
        <v>924</v>
      </c>
      <c r="C146" s="694" t="s">
        <v>64</v>
      </c>
      <c r="D146" s="695">
        <v>10</v>
      </c>
      <c r="E146" s="695">
        <v>0.06</v>
      </c>
      <c r="F146" s="654"/>
      <c r="G146" s="686"/>
      <c r="H146" s="687"/>
      <c r="I146" s="821">
        <v>1537.5</v>
      </c>
      <c r="J146" s="862">
        <v>1127.5</v>
      </c>
    </row>
    <row r="147" spans="1:10" s="660" customFormat="1" ht="25.5" customHeight="1" x14ac:dyDescent="0.2">
      <c r="A147" s="758"/>
      <c r="B147" s="477" t="s">
        <v>823</v>
      </c>
      <c r="C147" s="477" t="s">
        <v>365</v>
      </c>
      <c r="D147" s="667">
        <v>16.5</v>
      </c>
      <c r="E147" s="667">
        <v>0.14000000000000001</v>
      </c>
      <c r="F147" s="623" t="s">
        <v>778</v>
      </c>
      <c r="G147" s="690"/>
      <c r="H147" s="691"/>
      <c r="I147" s="822">
        <v>4888.5</v>
      </c>
      <c r="J147" s="863">
        <v>3584.9</v>
      </c>
    </row>
    <row r="148" spans="1:10" s="685" customFormat="1" ht="22.5" customHeight="1" thickBot="1" x14ac:dyDescent="0.25">
      <c r="A148" s="759"/>
      <c r="B148" s="696" t="s">
        <v>912</v>
      </c>
      <c r="C148" s="696" t="s">
        <v>77</v>
      </c>
      <c r="D148" s="697">
        <v>32</v>
      </c>
      <c r="E148" s="697">
        <v>0.19</v>
      </c>
      <c r="F148" s="663"/>
      <c r="G148" s="698"/>
      <c r="H148" s="699"/>
      <c r="I148" s="824">
        <v>4761</v>
      </c>
      <c r="J148" s="865">
        <v>3491.4</v>
      </c>
    </row>
    <row r="149" spans="1:10" s="453" customFormat="1" ht="13.5" customHeight="1" thickTop="1" x14ac:dyDescent="0.2">
      <c r="A149" s="753" t="s">
        <v>1053</v>
      </c>
      <c r="B149" s="433" t="s">
        <v>913</v>
      </c>
      <c r="C149" s="433" t="s">
        <v>846</v>
      </c>
      <c r="D149" s="451">
        <v>17.8</v>
      </c>
      <c r="E149" s="451">
        <v>0.09</v>
      </c>
      <c r="F149" s="557"/>
      <c r="G149" s="591"/>
      <c r="H149" s="592"/>
      <c r="I149" s="834">
        <v>5296.5</v>
      </c>
      <c r="J149" s="874">
        <v>3884.1000000000004</v>
      </c>
    </row>
    <row r="150" spans="1:10" s="453" customFormat="1" ht="13.5" customHeight="1" x14ac:dyDescent="0.2">
      <c r="A150" s="754"/>
      <c r="B150" s="436" t="s">
        <v>915</v>
      </c>
      <c r="C150" s="436" t="s">
        <v>847</v>
      </c>
      <c r="D150" s="454">
        <v>20.399999999999999</v>
      </c>
      <c r="E150" s="454">
        <v>0.11</v>
      </c>
      <c r="F150" s="552"/>
      <c r="G150" s="587"/>
      <c r="H150" s="588"/>
      <c r="I150" s="833">
        <v>5649</v>
      </c>
      <c r="J150" s="873">
        <v>4142.6000000000004</v>
      </c>
    </row>
    <row r="151" spans="1:10" s="453" customFormat="1" ht="13.5" customHeight="1" x14ac:dyDescent="0.2">
      <c r="A151" s="754"/>
      <c r="B151" s="436" t="s">
        <v>914</v>
      </c>
      <c r="C151" s="436" t="s">
        <v>848</v>
      </c>
      <c r="D151" s="454">
        <v>24.2</v>
      </c>
      <c r="E151" s="454">
        <v>0.14000000000000001</v>
      </c>
      <c r="F151" s="552"/>
      <c r="G151" s="587"/>
      <c r="H151" s="588"/>
      <c r="I151" s="833">
        <v>6532.5</v>
      </c>
      <c r="J151" s="873">
        <v>4790.5</v>
      </c>
    </row>
    <row r="152" spans="1:10" s="453" customFormat="1" ht="13.5" customHeight="1" x14ac:dyDescent="0.2">
      <c r="A152" s="754"/>
      <c r="B152" s="433" t="s">
        <v>812</v>
      </c>
      <c r="C152" s="433" t="s">
        <v>849</v>
      </c>
      <c r="D152" s="451">
        <v>19.2</v>
      </c>
      <c r="E152" s="451">
        <v>0.2</v>
      </c>
      <c r="F152" s="552" t="s">
        <v>804</v>
      </c>
      <c r="G152" s="583">
        <v>12.4</v>
      </c>
      <c r="H152" s="584"/>
      <c r="I152" s="819">
        <v>7726.5</v>
      </c>
      <c r="J152" s="860">
        <v>5666.1</v>
      </c>
    </row>
    <row r="153" spans="1:10" s="453" customFormat="1" ht="13.5" customHeight="1" x14ac:dyDescent="0.2">
      <c r="A153" s="754"/>
      <c r="B153" s="436" t="s">
        <v>813</v>
      </c>
      <c r="C153" s="436" t="s">
        <v>850</v>
      </c>
      <c r="D153" s="454">
        <v>20.5</v>
      </c>
      <c r="E153" s="454">
        <v>0.23</v>
      </c>
      <c r="F153" s="552" t="s">
        <v>819</v>
      </c>
      <c r="G153" s="583">
        <v>13.6</v>
      </c>
      <c r="H153" s="584"/>
      <c r="I153" s="819">
        <v>8529</v>
      </c>
      <c r="J153" s="860">
        <v>6254.6</v>
      </c>
    </row>
    <row r="154" spans="1:10" s="453" customFormat="1" ht="13.5" customHeight="1" x14ac:dyDescent="0.2">
      <c r="A154" s="754"/>
      <c r="B154" s="436" t="s">
        <v>814</v>
      </c>
      <c r="C154" s="436" t="s">
        <v>851</v>
      </c>
      <c r="D154" s="454">
        <v>24.9</v>
      </c>
      <c r="E154" s="454">
        <v>0.3</v>
      </c>
      <c r="F154" s="552" t="s">
        <v>815</v>
      </c>
      <c r="G154" s="583">
        <v>24</v>
      </c>
      <c r="H154" s="584"/>
      <c r="I154" s="819">
        <v>11967</v>
      </c>
      <c r="J154" s="860">
        <v>8775.8000000000011</v>
      </c>
    </row>
    <row r="155" spans="1:10" s="456" customFormat="1" ht="13.5" customHeight="1" thickBot="1" x14ac:dyDescent="0.25">
      <c r="A155" s="755"/>
      <c r="B155" s="437" t="s">
        <v>916</v>
      </c>
      <c r="C155" s="437" t="s">
        <v>852</v>
      </c>
      <c r="D155" s="455">
        <v>28.2</v>
      </c>
      <c r="E155" s="455">
        <v>0.19</v>
      </c>
      <c r="F155" s="555"/>
      <c r="G155" s="589"/>
      <c r="H155" s="590"/>
      <c r="I155" s="829">
        <v>7062</v>
      </c>
      <c r="J155" s="869">
        <v>5178.8</v>
      </c>
    </row>
    <row r="156" spans="1:10" s="427" customFormat="1" ht="13.5" customHeight="1" thickTop="1" x14ac:dyDescent="0.2">
      <c r="A156" s="792" t="s">
        <v>162</v>
      </c>
      <c r="B156" s="431" t="s">
        <v>874</v>
      </c>
      <c r="C156" s="431" t="s">
        <v>6</v>
      </c>
      <c r="D156" s="444">
        <v>12.5</v>
      </c>
      <c r="E156" s="444">
        <v>7.0000000000000007E-2</v>
      </c>
      <c r="F156" s="552"/>
      <c r="G156" s="583"/>
      <c r="H156" s="584"/>
      <c r="I156" s="819">
        <v>4051.5</v>
      </c>
      <c r="J156" s="860">
        <v>2971.1000000000004</v>
      </c>
    </row>
    <row r="157" spans="1:10" s="427" customFormat="1" ht="13.5" customHeight="1" x14ac:dyDescent="0.2">
      <c r="A157" s="771"/>
      <c r="B157" s="431" t="s">
        <v>875</v>
      </c>
      <c r="C157" s="431" t="s">
        <v>7</v>
      </c>
      <c r="D157" s="444">
        <v>14.5</v>
      </c>
      <c r="E157" s="444">
        <v>0.08</v>
      </c>
      <c r="F157" s="552"/>
      <c r="G157" s="583"/>
      <c r="H157" s="584"/>
      <c r="I157" s="819">
        <v>4449</v>
      </c>
      <c r="J157" s="860">
        <v>3262.6000000000004</v>
      </c>
    </row>
    <row r="158" spans="1:10" s="427" customFormat="1" ht="13.5" customHeight="1" x14ac:dyDescent="0.2">
      <c r="A158" s="771"/>
      <c r="B158" s="431" t="s">
        <v>876</v>
      </c>
      <c r="C158" s="431" t="s">
        <v>8</v>
      </c>
      <c r="D158" s="444">
        <v>16</v>
      </c>
      <c r="E158" s="444">
        <v>0.09</v>
      </c>
      <c r="F158" s="552"/>
      <c r="G158" s="583"/>
      <c r="H158" s="584"/>
      <c r="I158" s="819">
        <v>4996.5</v>
      </c>
      <c r="J158" s="860">
        <v>3664.1000000000004</v>
      </c>
    </row>
    <row r="159" spans="1:10" s="427" customFormat="1" ht="26.25" customHeight="1" x14ac:dyDescent="0.2">
      <c r="A159" s="771"/>
      <c r="B159" s="637" t="s">
        <v>985</v>
      </c>
      <c r="C159" s="468" t="s">
        <v>968</v>
      </c>
      <c r="D159" s="469">
        <v>0.3</v>
      </c>
      <c r="E159" s="469">
        <v>0.03</v>
      </c>
      <c r="F159" s="562"/>
      <c r="G159" s="595"/>
      <c r="H159" s="596"/>
      <c r="I159" s="831">
        <v>2145</v>
      </c>
      <c r="J159" s="871">
        <v>1573.0000000000002</v>
      </c>
    </row>
    <row r="160" spans="1:10" s="453" customFormat="1" ht="13.5" customHeight="1" x14ac:dyDescent="0.2">
      <c r="A160" s="771"/>
      <c r="B160" s="460" t="s">
        <v>726</v>
      </c>
      <c r="C160" s="460" t="s">
        <v>92</v>
      </c>
      <c r="D160" s="461">
        <v>20.3</v>
      </c>
      <c r="E160" s="461">
        <v>0.13</v>
      </c>
      <c r="F160" s="552" t="s">
        <v>799</v>
      </c>
      <c r="G160" s="583">
        <v>16.5</v>
      </c>
      <c r="H160" s="584"/>
      <c r="I160" s="819">
        <v>11469</v>
      </c>
      <c r="J160" s="860">
        <v>8410.6</v>
      </c>
    </row>
    <row r="161" spans="1:10" s="453" customFormat="1" ht="13.5" customHeight="1" x14ac:dyDescent="0.2">
      <c r="A161" s="771"/>
      <c r="B161" s="460" t="s">
        <v>726</v>
      </c>
      <c r="C161" s="460" t="s">
        <v>92</v>
      </c>
      <c r="D161" s="461">
        <v>20.3</v>
      </c>
      <c r="E161" s="461">
        <v>0.13</v>
      </c>
      <c r="F161" s="552" t="s">
        <v>843</v>
      </c>
      <c r="G161" s="583"/>
      <c r="H161" s="584"/>
      <c r="I161" s="819">
        <v>11397</v>
      </c>
      <c r="J161" s="860">
        <v>8357.8000000000011</v>
      </c>
    </row>
    <row r="162" spans="1:10" s="453" customFormat="1" ht="12.75" customHeight="1" x14ac:dyDescent="0.2">
      <c r="A162" s="771"/>
      <c r="B162" s="436" t="s">
        <v>727</v>
      </c>
      <c r="C162" s="436" t="s">
        <v>108</v>
      </c>
      <c r="D162" s="461">
        <v>23.7</v>
      </c>
      <c r="E162" s="461">
        <v>0.2</v>
      </c>
      <c r="F162" s="552" t="s">
        <v>799</v>
      </c>
      <c r="G162" s="583">
        <v>16.5</v>
      </c>
      <c r="H162" s="584"/>
      <c r="I162" s="819">
        <v>13651.5</v>
      </c>
      <c r="J162" s="860">
        <v>10011.1</v>
      </c>
    </row>
    <row r="163" spans="1:10" s="453" customFormat="1" ht="12.75" customHeight="1" x14ac:dyDescent="0.2">
      <c r="A163" s="771"/>
      <c r="B163" s="436" t="s">
        <v>727</v>
      </c>
      <c r="C163" s="436" t="s">
        <v>108</v>
      </c>
      <c r="D163" s="461">
        <v>23.7</v>
      </c>
      <c r="E163" s="461">
        <v>0.2</v>
      </c>
      <c r="F163" s="552" t="s">
        <v>843</v>
      </c>
      <c r="G163" s="583"/>
      <c r="H163" s="584"/>
      <c r="I163" s="819">
        <v>13579.5</v>
      </c>
      <c r="J163" s="860">
        <v>9958.3000000000011</v>
      </c>
    </row>
    <row r="164" spans="1:10" s="453" customFormat="1" ht="12.75" customHeight="1" x14ac:dyDescent="0.2">
      <c r="A164" s="771"/>
      <c r="B164" s="436" t="s">
        <v>728</v>
      </c>
      <c r="C164" s="436" t="s">
        <v>255</v>
      </c>
      <c r="D164" s="454">
        <v>23.2</v>
      </c>
      <c r="E164" s="454">
        <v>0.15</v>
      </c>
      <c r="F164" s="552" t="s">
        <v>800</v>
      </c>
      <c r="G164" s="587">
        <v>19.5</v>
      </c>
      <c r="H164" s="588"/>
      <c r="I164" s="833">
        <v>12429</v>
      </c>
      <c r="J164" s="873">
        <v>9114.6</v>
      </c>
    </row>
    <row r="165" spans="1:10" s="453" customFormat="1" ht="12.75" customHeight="1" x14ac:dyDescent="0.2">
      <c r="A165" s="771"/>
      <c r="B165" s="436" t="s">
        <v>728</v>
      </c>
      <c r="C165" s="436" t="s">
        <v>255</v>
      </c>
      <c r="D165" s="454">
        <v>23.2</v>
      </c>
      <c r="E165" s="454">
        <v>0.15</v>
      </c>
      <c r="F165" s="552" t="s">
        <v>844</v>
      </c>
      <c r="G165" s="587"/>
      <c r="H165" s="588"/>
      <c r="I165" s="833">
        <v>12319.5</v>
      </c>
      <c r="J165" s="873">
        <v>9034.3000000000011</v>
      </c>
    </row>
    <row r="166" spans="1:10" s="453" customFormat="1" ht="13.5" customHeight="1" x14ac:dyDescent="0.2">
      <c r="A166" s="771"/>
      <c r="B166" s="436" t="s">
        <v>729</v>
      </c>
      <c r="C166" s="436" t="s">
        <v>109</v>
      </c>
      <c r="D166" s="454">
        <v>31.8</v>
      </c>
      <c r="E166" s="454">
        <v>0.24</v>
      </c>
      <c r="F166" s="552" t="s">
        <v>800</v>
      </c>
      <c r="G166" s="587">
        <v>19.5</v>
      </c>
      <c r="H166" s="588"/>
      <c r="I166" s="833">
        <v>15430.5</v>
      </c>
      <c r="J166" s="873">
        <v>11315.7</v>
      </c>
    </row>
    <row r="167" spans="1:10" s="453" customFormat="1" ht="13.5" customHeight="1" x14ac:dyDescent="0.2">
      <c r="A167" s="771"/>
      <c r="B167" s="436" t="s">
        <v>729</v>
      </c>
      <c r="C167" s="436" t="s">
        <v>109</v>
      </c>
      <c r="D167" s="454">
        <v>31.8</v>
      </c>
      <c r="E167" s="454">
        <v>0.24</v>
      </c>
      <c r="F167" s="552" t="s">
        <v>844</v>
      </c>
      <c r="G167" s="587"/>
      <c r="H167" s="588"/>
      <c r="I167" s="833">
        <v>15321</v>
      </c>
      <c r="J167" s="873">
        <v>11235.400000000001</v>
      </c>
    </row>
    <row r="168" spans="1:10" s="453" customFormat="1" ht="12.75" customHeight="1" x14ac:dyDescent="0.2">
      <c r="A168" s="771"/>
      <c r="B168" s="436" t="s">
        <v>965</v>
      </c>
      <c r="C168" s="436" t="s">
        <v>817</v>
      </c>
      <c r="D168" s="454">
        <v>22</v>
      </c>
      <c r="E168" s="454">
        <v>0.18</v>
      </c>
      <c r="F168" s="552" t="s">
        <v>818</v>
      </c>
      <c r="G168" s="587">
        <v>20.5</v>
      </c>
      <c r="H168" s="588"/>
      <c r="I168" s="833">
        <v>14514</v>
      </c>
      <c r="J168" s="873">
        <v>10643.6</v>
      </c>
    </row>
    <row r="169" spans="1:10" s="453" customFormat="1" ht="12.75" customHeight="1" x14ac:dyDescent="0.2">
      <c r="A169" s="771"/>
      <c r="B169" s="436" t="s">
        <v>965</v>
      </c>
      <c r="C169" s="436" t="s">
        <v>817</v>
      </c>
      <c r="D169" s="454">
        <v>22</v>
      </c>
      <c r="E169" s="454">
        <v>0.18</v>
      </c>
      <c r="F169" s="552" t="s">
        <v>845</v>
      </c>
      <c r="G169" s="587"/>
      <c r="H169" s="588"/>
      <c r="I169" s="833">
        <v>14389.5</v>
      </c>
      <c r="J169" s="873">
        <v>10552.300000000001</v>
      </c>
    </row>
    <row r="170" spans="1:10" s="453" customFormat="1" ht="13.5" customHeight="1" x14ac:dyDescent="0.2">
      <c r="A170" s="771"/>
      <c r="B170" s="436" t="s">
        <v>966</v>
      </c>
      <c r="C170" s="436" t="s">
        <v>817</v>
      </c>
      <c r="D170" s="454">
        <v>32</v>
      </c>
      <c r="E170" s="454">
        <v>0.28000000000000003</v>
      </c>
      <c r="F170" s="552" t="s">
        <v>818</v>
      </c>
      <c r="G170" s="587">
        <v>20.5</v>
      </c>
      <c r="H170" s="588"/>
      <c r="I170" s="833">
        <v>17692.5</v>
      </c>
      <c r="J170" s="873">
        <v>12974.500000000002</v>
      </c>
    </row>
    <row r="171" spans="1:10" s="453" customFormat="1" ht="13.5" customHeight="1" x14ac:dyDescent="0.2">
      <c r="A171" s="771"/>
      <c r="B171" s="436" t="s">
        <v>967</v>
      </c>
      <c r="C171" s="436" t="s">
        <v>817</v>
      </c>
      <c r="D171" s="454">
        <v>32</v>
      </c>
      <c r="E171" s="454">
        <v>0.28000000000000003</v>
      </c>
      <c r="F171" s="552" t="s">
        <v>845</v>
      </c>
      <c r="G171" s="587"/>
      <c r="H171" s="588"/>
      <c r="I171" s="833">
        <v>17568</v>
      </c>
      <c r="J171" s="873">
        <v>12883.2</v>
      </c>
    </row>
    <row r="172" spans="1:10" s="427" customFormat="1" ht="13.5" customHeight="1" x14ac:dyDescent="0.2">
      <c r="A172" s="771"/>
      <c r="B172" s="431" t="s">
        <v>1055</v>
      </c>
      <c r="C172" s="431" t="s">
        <v>878</v>
      </c>
      <c r="D172" s="444">
        <v>27.5</v>
      </c>
      <c r="E172" s="444">
        <v>0.18</v>
      </c>
      <c r="F172" s="552"/>
      <c r="G172" s="587"/>
      <c r="H172" s="588"/>
      <c r="I172" s="833">
        <v>12273</v>
      </c>
      <c r="J172" s="860">
        <v>9000.2000000000007</v>
      </c>
    </row>
    <row r="173" spans="1:10" s="450" customFormat="1" ht="13.5" thickBot="1" x14ac:dyDescent="0.25">
      <c r="A173" s="772"/>
      <c r="B173" s="448" t="s">
        <v>1054</v>
      </c>
      <c r="C173" s="448" t="s">
        <v>877</v>
      </c>
      <c r="D173" s="449">
        <v>34</v>
      </c>
      <c r="E173" s="449">
        <v>0.25</v>
      </c>
      <c r="F173" s="553"/>
      <c r="G173" s="585"/>
      <c r="H173" s="586"/>
      <c r="I173" s="820">
        <v>14653.5</v>
      </c>
      <c r="J173" s="861">
        <v>10745.900000000001</v>
      </c>
    </row>
    <row r="174" spans="1:10" s="475" customFormat="1" ht="13.5" thickTop="1" x14ac:dyDescent="0.2">
      <c r="A174" s="770" t="s">
        <v>1127</v>
      </c>
      <c r="B174" s="460" t="s">
        <v>1255</v>
      </c>
      <c r="C174" s="460" t="s">
        <v>826</v>
      </c>
      <c r="D174" s="461">
        <v>14.8</v>
      </c>
      <c r="E174" s="461">
        <v>7.0000000000000007E-2</v>
      </c>
      <c r="F174" s="551"/>
      <c r="G174" s="583"/>
      <c r="H174" s="584"/>
      <c r="I174" s="819">
        <v>7495.5</v>
      </c>
      <c r="J174" s="860">
        <v>5496.7000000000007</v>
      </c>
    </row>
    <row r="175" spans="1:10" s="475" customFormat="1" ht="12.75" x14ac:dyDescent="0.2">
      <c r="A175" s="783"/>
      <c r="B175" s="436" t="s">
        <v>1256</v>
      </c>
      <c r="C175" s="436" t="s">
        <v>827</v>
      </c>
      <c r="D175" s="454">
        <v>17</v>
      </c>
      <c r="E175" s="454">
        <v>0.08</v>
      </c>
      <c r="F175" s="552"/>
      <c r="G175" s="583"/>
      <c r="H175" s="584"/>
      <c r="I175" s="819">
        <v>8371.5</v>
      </c>
      <c r="J175" s="860">
        <v>6139.1</v>
      </c>
    </row>
    <row r="176" spans="1:10" s="475" customFormat="1" ht="12.75" x14ac:dyDescent="0.2">
      <c r="A176" s="783"/>
      <c r="B176" s="436" t="s">
        <v>828</v>
      </c>
      <c r="C176" s="436" t="s">
        <v>1087</v>
      </c>
      <c r="D176" s="454">
        <v>26.6</v>
      </c>
      <c r="E176" s="454">
        <v>0.12</v>
      </c>
      <c r="F176" s="552"/>
      <c r="G176" s="583"/>
      <c r="H176" s="584"/>
      <c r="I176" s="819">
        <v>11487</v>
      </c>
      <c r="J176" s="860">
        <v>8423.8000000000011</v>
      </c>
    </row>
    <row r="177" spans="1:10" s="475" customFormat="1" ht="12.75" x14ac:dyDescent="0.2">
      <c r="A177" s="783"/>
      <c r="B177" s="436" t="s">
        <v>1083</v>
      </c>
      <c r="C177" s="436" t="s">
        <v>1084</v>
      </c>
      <c r="D177" s="454">
        <v>28.5</v>
      </c>
      <c r="E177" s="454">
        <v>0.17</v>
      </c>
      <c r="F177" s="552"/>
      <c r="G177" s="583"/>
      <c r="H177" s="584"/>
      <c r="I177" s="819">
        <v>12655.5</v>
      </c>
      <c r="J177" s="860">
        <v>9280.7000000000007</v>
      </c>
    </row>
    <row r="178" spans="1:10" s="475" customFormat="1" ht="12.75" x14ac:dyDescent="0.2">
      <c r="A178" s="783"/>
      <c r="B178" s="436" t="s">
        <v>829</v>
      </c>
      <c r="C178" s="436" t="s">
        <v>830</v>
      </c>
      <c r="D178" s="454">
        <v>16</v>
      </c>
      <c r="E178" s="454">
        <v>0.14000000000000001</v>
      </c>
      <c r="F178" s="552" t="s">
        <v>855</v>
      </c>
      <c r="G178" s="583">
        <v>13.5</v>
      </c>
      <c r="H178" s="584"/>
      <c r="I178" s="819">
        <v>12474</v>
      </c>
      <c r="J178" s="860">
        <v>9147.6</v>
      </c>
    </row>
    <row r="179" spans="1:10" s="475" customFormat="1" ht="12.75" x14ac:dyDescent="0.2">
      <c r="A179" s="783"/>
      <c r="B179" s="436" t="s">
        <v>831</v>
      </c>
      <c r="C179" s="436" t="s">
        <v>832</v>
      </c>
      <c r="D179" s="454">
        <v>21</v>
      </c>
      <c r="E179" s="454">
        <v>0.18</v>
      </c>
      <c r="F179" s="552" t="s">
        <v>854</v>
      </c>
      <c r="G179" s="583">
        <v>17.600000000000001</v>
      </c>
      <c r="H179" s="584"/>
      <c r="I179" s="819">
        <v>14271</v>
      </c>
      <c r="J179" s="860">
        <v>10465.400000000001</v>
      </c>
    </row>
    <row r="180" spans="1:10" s="475" customFormat="1" ht="12.75" x14ac:dyDescent="0.2">
      <c r="A180" s="783"/>
      <c r="B180" s="436" t="s">
        <v>833</v>
      </c>
      <c r="C180" s="436" t="s">
        <v>834</v>
      </c>
      <c r="D180" s="454">
        <v>27.5</v>
      </c>
      <c r="E180" s="454">
        <v>0.25</v>
      </c>
      <c r="F180" s="552" t="s">
        <v>853</v>
      </c>
      <c r="G180" s="583">
        <v>22.9</v>
      </c>
      <c r="H180" s="584"/>
      <c r="I180" s="819">
        <v>20049</v>
      </c>
      <c r="J180" s="860">
        <v>14702.6</v>
      </c>
    </row>
    <row r="181" spans="1:10" s="475" customFormat="1" ht="12.75" x14ac:dyDescent="0.2">
      <c r="A181" s="783"/>
      <c r="B181" s="436" t="s">
        <v>1085</v>
      </c>
      <c r="C181" s="436" t="s">
        <v>1086</v>
      </c>
      <c r="D181" s="454">
        <v>32</v>
      </c>
      <c r="E181" s="454">
        <v>0.28000000000000003</v>
      </c>
      <c r="F181" s="552" t="s">
        <v>775</v>
      </c>
      <c r="G181" s="583">
        <v>28</v>
      </c>
      <c r="H181" s="584"/>
      <c r="I181" s="819">
        <v>25989</v>
      </c>
      <c r="J181" s="860">
        <v>19058.600000000002</v>
      </c>
    </row>
    <row r="182" spans="1:10" s="475" customFormat="1" ht="12.75" x14ac:dyDescent="0.2">
      <c r="A182" s="783"/>
      <c r="B182" s="478" t="s">
        <v>835</v>
      </c>
      <c r="C182" s="478" t="s">
        <v>836</v>
      </c>
      <c r="D182" s="479">
        <v>33</v>
      </c>
      <c r="E182" s="479">
        <v>0.19</v>
      </c>
      <c r="F182" s="556"/>
      <c r="G182" s="591"/>
      <c r="H182" s="592"/>
      <c r="I182" s="834">
        <v>14019</v>
      </c>
      <c r="J182" s="874">
        <v>10280.6</v>
      </c>
    </row>
    <row r="183" spans="1:10" s="450" customFormat="1" ht="13.5" thickBot="1" x14ac:dyDescent="0.25">
      <c r="A183" s="793"/>
      <c r="B183" s="429" t="s">
        <v>969</v>
      </c>
      <c r="C183" s="429" t="s">
        <v>970</v>
      </c>
      <c r="D183" s="443">
        <v>19.2</v>
      </c>
      <c r="E183" s="443">
        <v>0.14000000000000001</v>
      </c>
      <c r="F183" s="555"/>
      <c r="G183" s="589"/>
      <c r="H183" s="590"/>
      <c r="I183" s="829">
        <v>7302</v>
      </c>
      <c r="J183" s="869">
        <v>5354.8</v>
      </c>
    </row>
    <row r="184" spans="1:10" s="427" customFormat="1" ht="13.5" customHeight="1" thickTop="1" x14ac:dyDescent="0.2">
      <c r="A184" s="770" t="s">
        <v>1171</v>
      </c>
      <c r="B184" s="431" t="s">
        <v>869</v>
      </c>
      <c r="C184" s="431" t="s">
        <v>870</v>
      </c>
      <c r="D184" s="444">
        <v>19.600000000000001</v>
      </c>
      <c r="E184" s="444">
        <v>0.11</v>
      </c>
      <c r="F184" s="551"/>
      <c r="G184" s="583"/>
      <c r="H184" s="584"/>
      <c r="I184" s="819">
        <v>7945.5</v>
      </c>
      <c r="J184" s="860">
        <v>5826.7000000000007</v>
      </c>
    </row>
    <row r="185" spans="1:10" s="427" customFormat="1" ht="13.5" customHeight="1" x14ac:dyDescent="0.2">
      <c r="A185" s="771"/>
      <c r="B185" s="431" t="s">
        <v>793</v>
      </c>
      <c r="C185" s="431" t="s">
        <v>70</v>
      </c>
      <c r="D185" s="444">
        <v>23.5</v>
      </c>
      <c r="E185" s="444">
        <v>0.13</v>
      </c>
      <c r="F185" s="551"/>
      <c r="G185" s="583"/>
      <c r="H185" s="584"/>
      <c r="I185" s="819">
        <v>9001.5</v>
      </c>
      <c r="J185" s="860">
        <v>6601.1</v>
      </c>
    </row>
    <row r="186" spans="1:10" s="427" customFormat="1" ht="12.75" customHeight="1" x14ac:dyDescent="0.2">
      <c r="A186" s="771"/>
      <c r="B186" s="426" t="s">
        <v>1006</v>
      </c>
      <c r="C186" s="426" t="s">
        <v>871</v>
      </c>
      <c r="D186" s="441">
        <v>23</v>
      </c>
      <c r="E186" s="441">
        <v>0.16</v>
      </c>
      <c r="F186" s="552" t="s">
        <v>873</v>
      </c>
      <c r="G186" s="583"/>
      <c r="H186" s="584"/>
      <c r="I186" s="819">
        <v>22753.5</v>
      </c>
      <c r="J186" s="860">
        <v>16685.900000000001</v>
      </c>
    </row>
    <row r="187" spans="1:10" s="432" customFormat="1" ht="13.5" customHeight="1" x14ac:dyDescent="0.2">
      <c r="A187" s="771"/>
      <c r="B187" s="426" t="s">
        <v>1007</v>
      </c>
      <c r="C187" s="426" t="s">
        <v>872</v>
      </c>
      <c r="D187" s="441">
        <v>38</v>
      </c>
      <c r="E187" s="441">
        <v>0.33</v>
      </c>
      <c r="F187" s="552" t="s">
        <v>873</v>
      </c>
      <c r="G187" s="587"/>
      <c r="H187" s="588"/>
      <c r="I187" s="833">
        <v>31494</v>
      </c>
      <c r="J187" s="873">
        <v>23095.600000000002</v>
      </c>
    </row>
    <row r="188" spans="1:10" s="432" customFormat="1" ht="13.5" customHeight="1" x14ac:dyDescent="0.2">
      <c r="A188" s="771"/>
      <c r="B188" s="431" t="s">
        <v>1057</v>
      </c>
      <c r="C188" s="431" t="s">
        <v>878</v>
      </c>
      <c r="D188" s="444">
        <v>27.5</v>
      </c>
      <c r="E188" s="444">
        <v>0.18</v>
      </c>
      <c r="F188" s="551"/>
      <c r="G188" s="583"/>
      <c r="H188" s="584"/>
      <c r="I188" s="819">
        <v>12273</v>
      </c>
      <c r="J188" s="860">
        <v>9000.2000000000007</v>
      </c>
    </row>
    <row r="189" spans="1:10" s="450" customFormat="1" ht="13.5" thickBot="1" x14ac:dyDescent="0.25">
      <c r="A189" s="772"/>
      <c r="B189" s="448" t="s">
        <v>1044</v>
      </c>
      <c r="C189" s="448" t="s">
        <v>877</v>
      </c>
      <c r="D189" s="449">
        <v>30</v>
      </c>
      <c r="E189" s="449">
        <v>0.25</v>
      </c>
      <c r="F189" s="553"/>
      <c r="G189" s="585"/>
      <c r="H189" s="586"/>
      <c r="I189" s="820">
        <v>14653.5</v>
      </c>
      <c r="J189" s="861">
        <v>10745.900000000001</v>
      </c>
    </row>
    <row r="190" spans="1:10" s="639" customFormat="1" ht="14.25" customHeight="1" thickTop="1" x14ac:dyDescent="0.2">
      <c r="A190" s="770" t="s">
        <v>1201</v>
      </c>
      <c r="B190" s="473" t="s">
        <v>1056</v>
      </c>
      <c r="C190" s="473" t="s">
        <v>360</v>
      </c>
      <c r="D190" s="474">
        <v>13</v>
      </c>
      <c r="E190" s="474">
        <v>0.02</v>
      </c>
      <c r="F190" s="554"/>
      <c r="G190" s="635"/>
      <c r="H190" s="638"/>
      <c r="I190" s="818">
        <v>8728.5</v>
      </c>
      <c r="J190" s="875">
        <v>6400.9000000000005</v>
      </c>
    </row>
    <row r="191" spans="1:10" s="450" customFormat="1" ht="26.25" customHeight="1" thickBot="1" x14ac:dyDescent="0.25">
      <c r="A191" s="772"/>
      <c r="B191" s="448" t="s">
        <v>1172</v>
      </c>
      <c r="C191" s="448" t="s">
        <v>1173</v>
      </c>
      <c r="D191" s="449">
        <v>14</v>
      </c>
      <c r="E191" s="449">
        <v>0.02</v>
      </c>
      <c r="F191" s="553"/>
      <c r="G191" s="585"/>
      <c r="H191" s="586"/>
      <c r="I191" s="820">
        <v>9127.5</v>
      </c>
      <c r="J191" s="861">
        <v>6693.5000000000009</v>
      </c>
    </row>
    <row r="192" spans="1:10" s="453" customFormat="1" ht="13.5" customHeight="1" thickTop="1" x14ac:dyDescent="0.2">
      <c r="A192" s="770" t="s">
        <v>1174</v>
      </c>
      <c r="B192" s="460" t="s">
        <v>917</v>
      </c>
      <c r="C192" s="460" t="s">
        <v>764</v>
      </c>
      <c r="D192" s="461">
        <v>13.5</v>
      </c>
      <c r="E192" s="461">
        <v>7.0000000000000007E-2</v>
      </c>
      <c r="F192" s="551"/>
      <c r="G192" s="583"/>
      <c r="H192" s="584"/>
      <c r="I192" s="819">
        <v>5701.5</v>
      </c>
      <c r="J192" s="860">
        <v>4181.1000000000004</v>
      </c>
    </row>
    <row r="193" spans="1:10" s="453" customFormat="1" ht="13.5" customHeight="1" x14ac:dyDescent="0.2">
      <c r="A193" s="783"/>
      <c r="B193" s="460" t="s">
        <v>928</v>
      </c>
      <c r="C193" s="460" t="s">
        <v>929</v>
      </c>
      <c r="D193" s="461">
        <v>15</v>
      </c>
      <c r="E193" s="461">
        <v>0.08</v>
      </c>
      <c r="F193" s="551"/>
      <c r="G193" s="583"/>
      <c r="H193" s="584"/>
      <c r="I193" s="819">
        <v>6010.5</v>
      </c>
      <c r="J193" s="860">
        <v>4407.7000000000007</v>
      </c>
    </row>
    <row r="194" spans="1:10" s="453" customFormat="1" ht="12.75" x14ac:dyDescent="0.2">
      <c r="A194" s="771"/>
      <c r="B194" s="480" t="s">
        <v>824</v>
      </c>
      <c r="C194" s="480" t="s">
        <v>765</v>
      </c>
      <c r="D194" s="481">
        <v>32</v>
      </c>
      <c r="E194" s="481">
        <v>0.23</v>
      </c>
      <c r="F194" s="558" t="s">
        <v>948</v>
      </c>
      <c r="G194" s="595">
        <v>12</v>
      </c>
      <c r="H194" s="596"/>
      <c r="I194" s="831">
        <v>11394</v>
      </c>
      <c r="J194" s="871">
        <v>8355.6</v>
      </c>
    </row>
    <row r="195" spans="1:10" s="453" customFormat="1" ht="12.75" x14ac:dyDescent="0.2">
      <c r="A195" s="771"/>
      <c r="B195" s="482" t="s">
        <v>930</v>
      </c>
      <c r="C195" s="482" t="s">
        <v>931</v>
      </c>
      <c r="D195" s="483">
        <v>36.5</v>
      </c>
      <c r="E195" s="483">
        <v>0.28000000000000003</v>
      </c>
      <c r="F195" s="558" t="s">
        <v>949</v>
      </c>
      <c r="G195" s="595">
        <v>22</v>
      </c>
      <c r="H195" s="596"/>
      <c r="I195" s="831">
        <v>12604.5</v>
      </c>
      <c r="J195" s="871">
        <v>9243.3000000000011</v>
      </c>
    </row>
    <row r="196" spans="1:10" s="453" customFormat="1" ht="12.75" x14ac:dyDescent="0.2">
      <c r="A196" s="771"/>
      <c r="B196" s="478" t="s">
        <v>918</v>
      </c>
      <c r="C196" s="484" t="s">
        <v>802</v>
      </c>
      <c r="D196" s="485">
        <v>36</v>
      </c>
      <c r="E196" s="485">
        <v>0.22</v>
      </c>
      <c r="F196" s="559"/>
      <c r="G196" s="597"/>
      <c r="H196" s="598"/>
      <c r="I196" s="835">
        <v>7980</v>
      </c>
      <c r="J196" s="876">
        <v>5852.0000000000009</v>
      </c>
    </row>
    <row r="197" spans="1:10" s="450" customFormat="1" ht="13.5" thickBot="1" x14ac:dyDescent="0.25">
      <c r="A197" s="772"/>
      <c r="B197" s="429" t="s">
        <v>971</v>
      </c>
      <c r="C197" s="439" t="s">
        <v>970</v>
      </c>
      <c r="D197" s="447"/>
      <c r="E197" s="447"/>
      <c r="F197" s="561"/>
      <c r="G197" s="603"/>
      <c r="H197" s="604"/>
      <c r="I197" s="836">
        <v>4828.5</v>
      </c>
      <c r="J197" s="877">
        <v>3540.9</v>
      </c>
    </row>
    <row r="198" spans="1:10" s="475" customFormat="1" ht="15" customHeight="1" thickTop="1" x14ac:dyDescent="0.2">
      <c r="A198" s="753" t="s">
        <v>1071</v>
      </c>
      <c r="B198" s="486" t="s">
        <v>1023</v>
      </c>
      <c r="C198" s="487" t="s">
        <v>764</v>
      </c>
      <c r="D198" s="488">
        <v>13</v>
      </c>
      <c r="E198" s="488">
        <v>7.0000000000000007E-2</v>
      </c>
      <c r="F198" s="560"/>
      <c r="G198" s="615"/>
      <c r="H198" s="817"/>
      <c r="I198" s="837">
        <v>5560.5</v>
      </c>
      <c r="J198" s="878">
        <v>4077.7000000000003</v>
      </c>
    </row>
    <row r="199" spans="1:10" s="475" customFormat="1" ht="15" customHeight="1" x14ac:dyDescent="0.2">
      <c r="A199" s="756"/>
      <c r="B199" s="460" t="s">
        <v>1024</v>
      </c>
      <c r="C199" s="480" t="s">
        <v>932</v>
      </c>
      <c r="D199" s="481">
        <v>15</v>
      </c>
      <c r="E199" s="481">
        <v>0.08</v>
      </c>
      <c r="F199" s="558"/>
      <c r="G199" s="595"/>
      <c r="H199" s="596"/>
      <c r="I199" s="831">
        <v>5791.5</v>
      </c>
      <c r="J199" s="871">
        <v>4247.1000000000004</v>
      </c>
    </row>
    <row r="200" spans="1:10" s="475" customFormat="1" ht="12.75" customHeight="1" x14ac:dyDescent="0.2">
      <c r="A200" s="754"/>
      <c r="B200" s="436" t="s">
        <v>1025</v>
      </c>
      <c r="C200" s="489" t="s">
        <v>879</v>
      </c>
      <c r="D200" s="490">
        <v>22.5</v>
      </c>
      <c r="E200" s="490">
        <v>0.21</v>
      </c>
      <c r="F200" s="552" t="s">
        <v>804</v>
      </c>
      <c r="G200" s="587">
        <v>12.4</v>
      </c>
      <c r="H200" s="588"/>
      <c r="I200" s="833">
        <v>9370.5</v>
      </c>
      <c r="J200" s="873">
        <v>6871.7000000000007</v>
      </c>
    </row>
    <row r="201" spans="1:10" s="475" customFormat="1" ht="12.75" customHeight="1" x14ac:dyDescent="0.2">
      <c r="A201" s="754"/>
      <c r="B201" s="436" t="s">
        <v>1008</v>
      </c>
      <c r="C201" s="489" t="s">
        <v>879</v>
      </c>
      <c r="D201" s="490">
        <v>22.5</v>
      </c>
      <c r="E201" s="490">
        <v>0.21</v>
      </c>
      <c r="F201" s="552" t="s">
        <v>804</v>
      </c>
      <c r="G201" s="587">
        <v>12.4</v>
      </c>
      <c r="H201" s="588"/>
      <c r="I201" s="833">
        <v>8349</v>
      </c>
      <c r="J201" s="873">
        <v>6122.6</v>
      </c>
    </row>
    <row r="202" spans="1:10" s="475" customFormat="1" ht="12.75" customHeight="1" x14ac:dyDescent="0.2">
      <c r="A202" s="754"/>
      <c r="B202" s="436" t="s">
        <v>1026</v>
      </c>
      <c r="C202" s="489" t="s">
        <v>933</v>
      </c>
      <c r="D202" s="490">
        <v>23.5</v>
      </c>
      <c r="E202" s="490">
        <v>0.24</v>
      </c>
      <c r="F202" s="552" t="s">
        <v>819</v>
      </c>
      <c r="G202" s="587">
        <v>13.6</v>
      </c>
      <c r="H202" s="588"/>
      <c r="I202" s="833">
        <v>11355</v>
      </c>
      <c r="J202" s="873">
        <v>8327</v>
      </c>
    </row>
    <row r="203" spans="1:10" s="475" customFormat="1" ht="12.75" customHeight="1" x14ac:dyDescent="0.2">
      <c r="A203" s="754"/>
      <c r="B203" s="436" t="s">
        <v>1009</v>
      </c>
      <c r="C203" s="489" t="s">
        <v>1247</v>
      </c>
      <c r="D203" s="485">
        <v>23.5</v>
      </c>
      <c r="E203" s="485">
        <v>0.24</v>
      </c>
      <c r="F203" s="552" t="s">
        <v>819</v>
      </c>
      <c r="G203" s="587">
        <v>13.6</v>
      </c>
      <c r="H203" s="588"/>
      <c r="I203" s="833">
        <v>9045</v>
      </c>
      <c r="J203" s="873">
        <v>6633.0000000000009</v>
      </c>
    </row>
    <row r="204" spans="1:10" s="456" customFormat="1" ht="13.5" customHeight="1" thickBot="1" x14ac:dyDescent="0.25">
      <c r="A204" s="754"/>
      <c r="B204" s="437" t="s">
        <v>1175</v>
      </c>
      <c r="C204" s="466" t="s">
        <v>802</v>
      </c>
      <c r="D204" s="470">
        <v>36</v>
      </c>
      <c r="E204" s="470">
        <v>0.21</v>
      </c>
      <c r="F204" s="561"/>
      <c r="G204" s="599"/>
      <c r="H204" s="600"/>
      <c r="I204" s="838">
        <v>8827.5</v>
      </c>
      <c r="J204" s="879">
        <v>6473.5000000000009</v>
      </c>
    </row>
    <row r="205" spans="1:10" s="428" customFormat="1" ht="13.5" customHeight="1" thickTop="1" x14ac:dyDescent="0.2">
      <c r="A205" s="770" t="s">
        <v>1209</v>
      </c>
      <c r="B205" s="431" t="s">
        <v>975</v>
      </c>
      <c r="C205" s="468" t="s">
        <v>992</v>
      </c>
      <c r="D205" s="469">
        <v>13</v>
      </c>
      <c r="E205" s="469">
        <v>0.1</v>
      </c>
      <c r="F205" s="558"/>
      <c r="G205" s="595"/>
      <c r="H205" s="596"/>
      <c r="I205" s="831">
        <v>4089</v>
      </c>
      <c r="J205" s="871">
        <v>2998.6000000000004</v>
      </c>
    </row>
    <row r="206" spans="1:10" s="428" customFormat="1" ht="13.5" customHeight="1" x14ac:dyDescent="0.2">
      <c r="A206" s="771"/>
      <c r="B206" s="426" t="s">
        <v>976</v>
      </c>
      <c r="C206" s="424" t="s">
        <v>993</v>
      </c>
      <c r="D206" s="445">
        <v>17.3</v>
      </c>
      <c r="E206" s="445">
        <v>0.12</v>
      </c>
      <c r="F206" s="562"/>
      <c r="G206" s="601"/>
      <c r="H206" s="602"/>
      <c r="I206" s="839">
        <v>5119.5</v>
      </c>
      <c r="J206" s="880">
        <v>3754.3</v>
      </c>
    </row>
    <row r="207" spans="1:10" s="428" customFormat="1" ht="13.5" customHeight="1" x14ac:dyDescent="0.2">
      <c r="A207" s="771"/>
      <c r="B207" s="426" t="s">
        <v>977</v>
      </c>
      <c r="C207" s="424" t="s">
        <v>994</v>
      </c>
      <c r="D207" s="445">
        <v>22</v>
      </c>
      <c r="E207" s="445">
        <v>0.15</v>
      </c>
      <c r="F207" s="562"/>
      <c r="G207" s="601"/>
      <c r="H207" s="602"/>
      <c r="I207" s="839">
        <v>5743.5</v>
      </c>
      <c r="J207" s="880">
        <v>4211.9000000000005</v>
      </c>
    </row>
    <row r="208" spans="1:10" s="428" customFormat="1" ht="13.5" customHeight="1" x14ac:dyDescent="0.2">
      <c r="A208" s="771"/>
      <c r="B208" s="426" t="s">
        <v>978</v>
      </c>
      <c r="C208" s="424" t="s">
        <v>995</v>
      </c>
      <c r="D208" s="445">
        <v>26.5</v>
      </c>
      <c r="E208" s="445">
        <v>0.22</v>
      </c>
      <c r="F208" s="562" t="s">
        <v>999</v>
      </c>
      <c r="G208" s="601">
        <v>14.2</v>
      </c>
      <c r="H208" s="602"/>
      <c r="I208" s="839">
        <v>11668.5</v>
      </c>
      <c r="J208" s="880">
        <v>8556.9000000000015</v>
      </c>
    </row>
    <row r="209" spans="1:10" s="428" customFormat="1" ht="13.5" customHeight="1" x14ac:dyDescent="0.2">
      <c r="A209" s="771"/>
      <c r="B209" s="426" t="s">
        <v>1010</v>
      </c>
      <c r="C209" s="424" t="s">
        <v>1048</v>
      </c>
      <c r="D209" s="445">
        <v>26.5</v>
      </c>
      <c r="E209" s="445">
        <v>0.22</v>
      </c>
      <c r="F209" s="562" t="s">
        <v>999</v>
      </c>
      <c r="G209" s="601">
        <v>14.2</v>
      </c>
      <c r="H209" s="602"/>
      <c r="I209" s="839">
        <v>10909.5</v>
      </c>
      <c r="J209" s="880">
        <v>8000.3000000000011</v>
      </c>
    </row>
    <row r="210" spans="1:10" s="428" customFormat="1" ht="13.5" customHeight="1" x14ac:dyDescent="0.2">
      <c r="A210" s="771"/>
      <c r="B210" s="426" t="s">
        <v>979</v>
      </c>
      <c r="C210" s="424" t="s">
        <v>996</v>
      </c>
      <c r="D210" s="445">
        <v>31.3</v>
      </c>
      <c r="E210" s="445">
        <v>0.28000000000000003</v>
      </c>
      <c r="F210" s="562" t="s">
        <v>1000</v>
      </c>
      <c r="G210" s="601">
        <v>18.25</v>
      </c>
      <c r="H210" s="602"/>
      <c r="I210" s="839">
        <v>14395.5</v>
      </c>
      <c r="J210" s="880">
        <v>10556.7</v>
      </c>
    </row>
    <row r="211" spans="1:10" s="428" customFormat="1" ht="13.5" customHeight="1" x14ac:dyDescent="0.2">
      <c r="A211" s="771"/>
      <c r="B211" s="426" t="s">
        <v>1011</v>
      </c>
      <c r="C211" s="424" t="s">
        <v>1049</v>
      </c>
      <c r="D211" s="445">
        <v>31.3</v>
      </c>
      <c r="E211" s="445">
        <v>0.28000000000000003</v>
      </c>
      <c r="F211" s="562" t="s">
        <v>1000</v>
      </c>
      <c r="G211" s="601">
        <v>18.25</v>
      </c>
      <c r="H211" s="602"/>
      <c r="I211" s="839">
        <v>13539</v>
      </c>
      <c r="J211" s="880">
        <v>9928.6</v>
      </c>
    </row>
    <row r="212" spans="1:10" s="428" customFormat="1" ht="13.5" customHeight="1" x14ac:dyDescent="0.2">
      <c r="A212" s="771"/>
      <c r="B212" s="426" t="s">
        <v>980</v>
      </c>
      <c r="C212" s="424" t="s">
        <v>997</v>
      </c>
      <c r="D212" s="445">
        <v>38.6</v>
      </c>
      <c r="E212" s="445">
        <v>0.35</v>
      </c>
      <c r="F212" s="562" t="s">
        <v>1001</v>
      </c>
      <c r="G212" s="601">
        <v>23.8</v>
      </c>
      <c r="H212" s="602"/>
      <c r="I212" s="839">
        <v>17880</v>
      </c>
      <c r="J212" s="880">
        <v>13112.000000000002</v>
      </c>
    </row>
    <row r="213" spans="1:10" s="428" customFormat="1" ht="13.5" customHeight="1" x14ac:dyDescent="0.2">
      <c r="A213" s="771"/>
      <c r="B213" s="426" t="s">
        <v>1012</v>
      </c>
      <c r="C213" s="424" t="s">
        <v>1050</v>
      </c>
      <c r="D213" s="446">
        <v>38.6</v>
      </c>
      <c r="E213" s="446">
        <v>0.35</v>
      </c>
      <c r="F213" s="562" t="s">
        <v>1001</v>
      </c>
      <c r="G213" s="601">
        <v>23.8</v>
      </c>
      <c r="H213" s="602"/>
      <c r="I213" s="839">
        <v>16906.5</v>
      </c>
      <c r="J213" s="880">
        <v>12398.1</v>
      </c>
    </row>
    <row r="214" spans="1:10" s="450" customFormat="1" ht="13.5" customHeight="1" thickBot="1" x14ac:dyDescent="0.25">
      <c r="A214" s="772"/>
      <c r="B214" s="429" t="s">
        <v>984</v>
      </c>
      <c r="C214" s="439" t="s">
        <v>998</v>
      </c>
      <c r="D214" s="447">
        <v>34.700000000000003</v>
      </c>
      <c r="E214" s="447">
        <v>0.23</v>
      </c>
      <c r="F214" s="561"/>
      <c r="G214" s="603"/>
      <c r="H214" s="604"/>
      <c r="I214" s="836">
        <v>7302</v>
      </c>
      <c r="J214" s="877">
        <v>5354.8</v>
      </c>
    </row>
    <row r="215" spans="1:10" s="453" customFormat="1" ht="13.5" customHeight="1" thickTop="1" x14ac:dyDescent="0.2">
      <c r="A215" s="753" t="s">
        <v>1206</v>
      </c>
      <c r="B215" s="460" t="s">
        <v>1202</v>
      </c>
      <c r="C215" s="460" t="s">
        <v>1224</v>
      </c>
      <c r="D215" s="461">
        <v>21.8</v>
      </c>
      <c r="E215" s="461"/>
      <c r="F215" s="551"/>
      <c r="G215" s="577"/>
      <c r="H215" s="578"/>
      <c r="I215" s="825">
        <v>13045.5</v>
      </c>
      <c r="J215" s="866">
        <v>9566.7000000000007</v>
      </c>
    </row>
    <row r="216" spans="1:10" s="453" customFormat="1" ht="13.5" customHeight="1" x14ac:dyDescent="0.2">
      <c r="A216" s="756"/>
      <c r="B216" s="460" t="s">
        <v>1203</v>
      </c>
      <c r="C216" s="460" t="s">
        <v>1225</v>
      </c>
      <c r="D216" s="461">
        <v>24.7</v>
      </c>
      <c r="E216" s="461"/>
      <c r="F216" s="551"/>
      <c r="G216" s="577"/>
      <c r="H216" s="578"/>
      <c r="I216" s="825">
        <v>13629</v>
      </c>
      <c r="J216" s="866">
        <v>9994.6</v>
      </c>
    </row>
    <row r="217" spans="1:10" s="476" customFormat="1" ht="12.75" customHeight="1" x14ac:dyDescent="0.2">
      <c r="A217" s="756"/>
      <c r="B217" s="489" t="s">
        <v>1204</v>
      </c>
      <c r="C217" s="489" t="s">
        <v>1226</v>
      </c>
      <c r="D217" s="490">
        <v>22.6</v>
      </c>
      <c r="E217" s="490"/>
      <c r="F217" s="562" t="s">
        <v>1208</v>
      </c>
      <c r="G217" s="630">
        <v>17</v>
      </c>
      <c r="H217" s="631"/>
      <c r="I217" s="826">
        <v>10347</v>
      </c>
      <c r="J217" s="867">
        <v>7587.8</v>
      </c>
    </row>
    <row r="218" spans="1:10" s="476" customFormat="1" ht="13.5" customHeight="1" x14ac:dyDescent="0.2">
      <c r="A218" s="756"/>
      <c r="B218" s="489" t="s">
        <v>1205</v>
      </c>
      <c r="C218" s="460" t="s">
        <v>1227</v>
      </c>
      <c r="D218" s="461">
        <v>25</v>
      </c>
      <c r="E218" s="461"/>
      <c r="F218" s="562" t="s">
        <v>1190</v>
      </c>
      <c r="G218" s="577">
        <v>19</v>
      </c>
      <c r="H218" s="578"/>
      <c r="I218" s="825">
        <v>11262</v>
      </c>
      <c r="J218" s="866">
        <v>8258.8000000000011</v>
      </c>
    </row>
    <row r="219" spans="1:10" s="456" customFormat="1" ht="13.5" customHeight="1" thickBot="1" x14ac:dyDescent="0.25">
      <c r="A219" s="794"/>
      <c r="B219" s="471" t="s">
        <v>1207</v>
      </c>
      <c r="C219" s="471" t="s">
        <v>1228</v>
      </c>
      <c r="D219" s="472">
        <v>28.5</v>
      </c>
      <c r="E219" s="472"/>
      <c r="F219" s="553"/>
      <c r="G219" s="581"/>
      <c r="H219" s="582"/>
      <c r="I219" s="830">
        <v>8178</v>
      </c>
      <c r="J219" s="870">
        <v>5997.2000000000007</v>
      </c>
    </row>
    <row r="220" spans="1:10" s="427" customFormat="1" ht="13.5" customHeight="1" thickTop="1" x14ac:dyDescent="0.2">
      <c r="A220" s="783" t="s">
        <v>1070</v>
      </c>
      <c r="B220" s="431" t="s">
        <v>672</v>
      </c>
      <c r="C220" s="431" t="s">
        <v>2</v>
      </c>
      <c r="D220" s="444">
        <v>6.1</v>
      </c>
      <c r="E220" s="444">
        <v>0.06</v>
      </c>
      <c r="F220" s="551"/>
      <c r="G220" s="583"/>
      <c r="H220" s="584"/>
      <c r="I220" s="819">
        <v>5455.5</v>
      </c>
      <c r="J220" s="860">
        <v>4000.7000000000003</v>
      </c>
    </row>
    <row r="221" spans="1:10" s="427" customFormat="1" ht="12.75" hidden="1" customHeight="1" x14ac:dyDescent="0.2">
      <c r="A221" s="771"/>
      <c r="B221" s="426" t="s">
        <v>195</v>
      </c>
      <c r="C221" s="426" t="s">
        <v>2</v>
      </c>
      <c r="D221" s="441"/>
      <c r="E221" s="441"/>
      <c r="F221" s="552"/>
      <c r="G221" s="583"/>
      <c r="H221" s="584"/>
      <c r="I221" s="819">
        <v>6403.9499999999989</v>
      </c>
      <c r="J221" s="860">
        <v>4696.2299999999996</v>
      </c>
    </row>
    <row r="222" spans="1:10" s="427" customFormat="1" ht="12.75" customHeight="1" x14ac:dyDescent="0.2">
      <c r="A222" s="771"/>
      <c r="B222" s="426" t="s">
        <v>673</v>
      </c>
      <c r="C222" s="426" t="s">
        <v>3</v>
      </c>
      <c r="D222" s="441">
        <v>7.9</v>
      </c>
      <c r="E222" s="441">
        <v>0.08</v>
      </c>
      <c r="F222" s="552"/>
      <c r="G222" s="583"/>
      <c r="H222" s="584"/>
      <c r="I222" s="819">
        <v>6637.5</v>
      </c>
      <c r="J222" s="860">
        <v>4867.5</v>
      </c>
    </row>
    <row r="223" spans="1:10" s="427" customFormat="1" ht="12.75" hidden="1" customHeight="1" x14ac:dyDescent="0.2">
      <c r="A223" s="771"/>
      <c r="B223" s="426" t="s">
        <v>196</v>
      </c>
      <c r="C223" s="426" t="s">
        <v>3</v>
      </c>
      <c r="D223" s="441"/>
      <c r="E223" s="441"/>
      <c r="F223" s="552"/>
      <c r="G223" s="583"/>
      <c r="H223" s="584"/>
      <c r="I223" s="819">
        <v>7886.9699999999993</v>
      </c>
      <c r="J223" s="860">
        <v>5783.7780000000002</v>
      </c>
    </row>
    <row r="224" spans="1:10" s="427" customFormat="1" ht="12.75" customHeight="1" x14ac:dyDescent="0.2">
      <c r="A224" s="771"/>
      <c r="B224" s="426" t="s">
        <v>674</v>
      </c>
      <c r="C224" s="426" t="s">
        <v>4</v>
      </c>
      <c r="D224" s="441">
        <v>11.8</v>
      </c>
      <c r="E224" s="441">
        <v>0.13</v>
      </c>
      <c r="F224" s="552"/>
      <c r="G224" s="583"/>
      <c r="H224" s="584"/>
      <c r="I224" s="819">
        <v>8820</v>
      </c>
      <c r="J224" s="860">
        <v>6468.0000000000009</v>
      </c>
    </row>
    <row r="225" spans="1:10" s="427" customFormat="1" ht="12.75" hidden="1" customHeight="1" x14ac:dyDescent="0.2">
      <c r="A225" s="771"/>
      <c r="B225" s="426" t="s">
        <v>197</v>
      </c>
      <c r="C225" s="426" t="s">
        <v>4</v>
      </c>
      <c r="D225" s="441"/>
      <c r="E225" s="441"/>
      <c r="F225" s="552"/>
      <c r="G225" s="583"/>
      <c r="H225" s="584"/>
      <c r="I225" s="819">
        <v>11594.519999999997</v>
      </c>
      <c r="J225" s="860">
        <v>8502.6479999999992</v>
      </c>
    </row>
    <row r="226" spans="1:10" s="427" customFormat="1" ht="12.75" customHeight="1" x14ac:dyDescent="0.2">
      <c r="A226" s="771"/>
      <c r="B226" s="426" t="s">
        <v>675</v>
      </c>
      <c r="C226" s="426" t="s">
        <v>5</v>
      </c>
      <c r="D226" s="441">
        <v>13.5</v>
      </c>
      <c r="E226" s="441">
        <v>0.15</v>
      </c>
      <c r="F226" s="552"/>
      <c r="G226" s="583"/>
      <c r="H226" s="584"/>
      <c r="I226" s="819">
        <v>10002</v>
      </c>
      <c r="J226" s="860">
        <v>7334.8</v>
      </c>
    </row>
    <row r="227" spans="1:10" s="427" customFormat="1" ht="12.75" hidden="1" customHeight="1" x14ac:dyDescent="0.2">
      <c r="A227" s="771"/>
      <c r="B227" s="426" t="s">
        <v>367</v>
      </c>
      <c r="C227" s="426" t="s">
        <v>75</v>
      </c>
      <c r="D227" s="441"/>
      <c r="E227" s="441"/>
      <c r="F227" s="552"/>
      <c r="G227" s="583"/>
      <c r="H227" s="584"/>
      <c r="I227" s="819">
        <v>19324.199999999997</v>
      </c>
      <c r="J227" s="860">
        <v>14171.08</v>
      </c>
    </row>
    <row r="228" spans="1:10" s="427" customFormat="1" ht="12.75" hidden="1" customHeight="1" x14ac:dyDescent="0.2">
      <c r="A228" s="771"/>
      <c r="B228" s="426" t="s">
        <v>266</v>
      </c>
      <c r="C228" s="426" t="s">
        <v>89</v>
      </c>
      <c r="D228" s="441"/>
      <c r="E228" s="441"/>
      <c r="F228" s="552" t="s">
        <v>285</v>
      </c>
      <c r="G228" s="583"/>
      <c r="H228" s="584"/>
      <c r="I228" s="819">
        <v>11214.135</v>
      </c>
      <c r="J228" s="860">
        <v>8223.6990000000005</v>
      </c>
    </row>
    <row r="229" spans="1:10" s="427" customFormat="1" ht="12.75" hidden="1" customHeight="1" x14ac:dyDescent="0.2">
      <c r="A229" s="771"/>
      <c r="B229" s="426" t="s">
        <v>271</v>
      </c>
      <c r="C229" s="426" t="s">
        <v>89</v>
      </c>
      <c r="D229" s="441"/>
      <c r="E229" s="441"/>
      <c r="F229" s="552" t="s">
        <v>285</v>
      </c>
      <c r="G229" s="583"/>
      <c r="H229" s="584"/>
      <c r="I229" s="819">
        <v>13613.931</v>
      </c>
      <c r="J229" s="860">
        <v>9983.5493999999999</v>
      </c>
    </row>
    <row r="230" spans="1:10" s="453" customFormat="1" ht="12.75" customHeight="1" x14ac:dyDescent="0.2">
      <c r="A230" s="771"/>
      <c r="B230" s="436" t="s">
        <v>676</v>
      </c>
      <c r="C230" s="436" t="s">
        <v>90</v>
      </c>
      <c r="D230" s="454">
        <v>17.3</v>
      </c>
      <c r="E230" s="454">
        <v>0.16</v>
      </c>
      <c r="F230" s="552" t="s">
        <v>778</v>
      </c>
      <c r="G230" s="583">
        <v>15.2</v>
      </c>
      <c r="H230" s="584"/>
      <c r="I230" s="819">
        <v>11335.5</v>
      </c>
      <c r="J230" s="860">
        <v>8312.7000000000007</v>
      </c>
    </row>
    <row r="231" spans="1:10" s="453" customFormat="1" ht="12.75" hidden="1" customHeight="1" x14ac:dyDescent="0.2">
      <c r="A231" s="771"/>
      <c r="B231" s="436" t="s">
        <v>272</v>
      </c>
      <c r="C231" s="436" t="s">
        <v>90</v>
      </c>
      <c r="D231" s="454"/>
      <c r="E231" s="454"/>
      <c r="F231" s="552" t="s">
        <v>286</v>
      </c>
      <c r="G231" s="583"/>
      <c r="H231" s="584"/>
      <c r="I231" s="819">
        <v>14462.655000000001</v>
      </c>
      <c r="J231" s="860">
        <v>10605.947000000002</v>
      </c>
    </row>
    <row r="232" spans="1:10" s="453" customFormat="1" ht="12.75" customHeight="1" x14ac:dyDescent="0.2">
      <c r="A232" s="771"/>
      <c r="B232" s="436" t="s">
        <v>677</v>
      </c>
      <c r="C232" s="436" t="s">
        <v>91</v>
      </c>
      <c r="D232" s="454">
        <v>24.9</v>
      </c>
      <c r="E232" s="454">
        <v>0.21</v>
      </c>
      <c r="F232" s="552" t="s">
        <v>777</v>
      </c>
      <c r="G232" s="583">
        <v>22</v>
      </c>
      <c r="H232" s="584"/>
      <c r="I232" s="819">
        <v>15205.5</v>
      </c>
      <c r="J232" s="860">
        <v>11150.7</v>
      </c>
    </row>
    <row r="233" spans="1:10" s="427" customFormat="1" ht="12.75" customHeight="1" x14ac:dyDescent="0.2">
      <c r="A233" s="771"/>
      <c r="B233" s="426" t="s">
        <v>678</v>
      </c>
      <c r="C233" s="426" t="s">
        <v>87</v>
      </c>
      <c r="D233" s="441">
        <v>30.3</v>
      </c>
      <c r="E233" s="441">
        <v>0.3</v>
      </c>
      <c r="F233" s="552" t="s">
        <v>1002</v>
      </c>
      <c r="G233" s="583">
        <v>22</v>
      </c>
      <c r="H233" s="584"/>
      <c r="I233" s="819">
        <v>18961.5</v>
      </c>
      <c r="J233" s="860">
        <v>13905.1</v>
      </c>
    </row>
    <row r="234" spans="1:10" s="432" customFormat="1" ht="13.5" hidden="1" customHeight="1" x14ac:dyDescent="0.2">
      <c r="A234" s="771"/>
      <c r="B234" s="426" t="s">
        <v>842</v>
      </c>
      <c r="C234" s="426" t="s">
        <v>88</v>
      </c>
      <c r="D234" s="441"/>
      <c r="E234" s="441"/>
      <c r="F234" s="552" t="s">
        <v>775</v>
      </c>
      <c r="G234" s="587"/>
      <c r="H234" s="588"/>
      <c r="I234" s="833">
        <v>27334.754999999997</v>
      </c>
      <c r="J234" s="873">
        <v>20045.487000000001</v>
      </c>
    </row>
    <row r="235" spans="1:10" s="428" customFormat="1" ht="13.5" customHeight="1" x14ac:dyDescent="0.2">
      <c r="A235" s="771"/>
      <c r="B235" s="426" t="s">
        <v>1040</v>
      </c>
      <c r="C235" s="426" t="s">
        <v>88</v>
      </c>
      <c r="D235" s="441">
        <v>34.799999999999997</v>
      </c>
      <c r="E235" s="441">
        <v>0.35</v>
      </c>
      <c r="F235" s="552" t="s">
        <v>775</v>
      </c>
      <c r="G235" s="587">
        <v>28</v>
      </c>
      <c r="H235" s="588"/>
      <c r="I235" s="833">
        <v>26052</v>
      </c>
      <c r="J235" s="873">
        <v>19104.800000000003</v>
      </c>
    </row>
    <row r="236" spans="1:10" s="428" customFormat="1" ht="13.5" customHeight="1" x14ac:dyDescent="0.2">
      <c r="A236" s="771"/>
      <c r="B236" s="426" t="s">
        <v>1014</v>
      </c>
      <c r="C236" s="426" t="s">
        <v>75</v>
      </c>
      <c r="D236" s="441">
        <v>34.299999999999997</v>
      </c>
      <c r="E236" s="441">
        <v>0.22</v>
      </c>
      <c r="F236" s="552"/>
      <c r="G236" s="587"/>
      <c r="H236" s="588"/>
      <c r="I236" s="833">
        <v>15969</v>
      </c>
      <c r="J236" s="873">
        <v>11710.6</v>
      </c>
    </row>
    <row r="237" spans="1:10" s="450" customFormat="1" ht="13.5" thickBot="1" x14ac:dyDescent="0.25">
      <c r="A237" s="772"/>
      <c r="B237" s="426" t="s">
        <v>919</v>
      </c>
      <c r="C237" s="448" t="s">
        <v>75</v>
      </c>
      <c r="D237" s="443">
        <v>34.299999999999997</v>
      </c>
      <c r="E237" s="443">
        <v>0.22</v>
      </c>
      <c r="F237" s="553"/>
      <c r="G237" s="585"/>
      <c r="H237" s="586"/>
      <c r="I237" s="820">
        <v>15184.5</v>
      </c>
      <c r="J237" s="861">
        <v>11135.300000000001</v>
      </c>
    </row>
    <row r="238" spans="1:10" s="427" customFormat="1" ht="13.5" hidden="1" customHeight="1" thickTop="1" x14ac:dyDescent="0.2">
      <c r="A238" s="792" t="s">
        <v>145</v>
      </c>
      <c r="B238" s="431" t="s">
        <v>820</v>
      </c>
      <c r="C238" s="431" t="s">
        <v>13</v>
      </c>
      <c r="D238" s="640"/>
      <c r="E238" s="640"/>
      <c r="F238" s="551"/>
      <c r="G238" s="583"/>
      <c r="H238" s="584"/>
      <c r="I238" s="805"/>
      <c r="J238" s="805"/>
    </row>
    <row r="239" spans="1:10" s="427" customFormat="1" ht="12.75" hidden="1" customHeight="1" x14ac:dyDescent="0.2">
      <c r="A239" s="771"/>
      <c r="B239" s="430" t="s">
        <v>821</v>
      </c>
      <c r="C239" s="426" t="s">
        <v>90</v>
      </c>
      <c r="D239" s="641"/>
      <c r="E239" s="641"/>
      <c r="F239" s="556" t="s">
        <v>773</v>
      </c>
      <c r="G239" s="591"/>
      <c r="H239" s="592"/>
      <c r="I239" s="807"/>
      <c r="J239" s="807"/>
    </row>
    <row r="240" spans="1:10" s="450" customFormat="1" ht="14.25" hidden="1" thickTop="1" thickBot="1" x14ac:dyDescent="0.25">
      <c r="A240" s="804"/>
      <c r="B240" s="429" t="s">
        <v>822</v>
      </c>
      <c r="C240" s="429" t="s">
        <v>75</v>
      </c>
      <c r="D240" s="642"/>
      <c r="E240" s="642"/>
      <c r="F240" s="555"/>
      <c r="G240" s="585"/>
      <c r="H240" s="586"/>
      <c r="I240" s="806"/>
      <c r="J240" s="806"/>
    </row>
    <row r="241" spans="1:10" s="427" customFormat="1" ht="20.25" thickTop="1" thickBot="1" x14ac:dyDescent="0.25">
      <c r="A241" s="789" t="s">
        <v>601</v>
      </c>
      <c r="B241" s="790"/>
      <c r="C241" s="790"/>
      <c r="D241" s="790"/>
      <c r="E241" s="790"/>
      <c r="F241" s="790"/>
      <c r="G241" s="790"/>
      <c r="H241" s="790"/>
      <c r="I241" s="790"/>
      <c r="J241" s="790"/>
    </row>
    <row r="242" spans="1:10" s="453" customFormat="1" ht="18" customHeight="1" thickTop="1" x14ac:dyDescent="0.2">
      <c r="A242" s="786" t="s">
        <v>1035</v>
      </c>
      <c r="B242" s="460" t="s">
        <v>1176</v>
      </c>
      <c r="C242" s="460" t="s">
        <v>753</v>
      </c>
      <c r="D242" s="461">
        <v>11.3</v>
      </c>
      <c r="E242" s="461">
        <v>0.05</v>
      </c>
      <c r="F242" s="551"/>
      <c r="G242" s="583"/>
      <c r="H242" s="584"/>
      <c r="I242" s="853">
        <v>2576.0249999999996</v>
      </c>
      <c r="J242" s="452">
        <v>1889.085</v>
      </c>
    </row>
    <row r="243" spans="1:10" s="453" customFormat="1" ht="24.75" customHeight="1" x14ac:dyDescent="0.2">
      <c r="A243" s="787"/>
      <c r="B243" s="436" t="s">
        <v>920</v>
      </c>
      <c r="C243" s="436" t="s">
        <v>62</v>
      </c>
      <c r="D243" s="454">
        <v>16.5</v>
      </c>
      <c r="E243" s="454">
        <v>0.11</v>
      </c>
      <c r="F243" s="552"/>
      <c r="G243" s="587"/>
      <c r="H243" s="588"/>
      <c r="I243" s="854">
        <v>3434.7000000000003</v>
      </c>
      <c r="J243" s="435">
        <v>2518.7800000000002</v>
      </c>
    </row>
    <row r="244" spans="1:10" s="453" customFormat="1" ht="27" customHeight="1" x14ac:dyDescent="0.2">
      <c r="A244" s="788"/>
      <c r="B244" s="436" t="s">
        <v>921</v>
      </c>
      <c r="C244" s="436" t="s">
        <v>754</v>
      </c>
      <c r="D244" s="454">
        <v>11.7</v>
      </c>
      <c r="E244" s="454">
        <v>0.09</v>
      </c>
      <c r="F244" s="552" t="s">
        <v>808</v>
      </c>
      <c r="G244" s="587"/>
      <c r="H244" s="588"/>
      <c r="I244" s="854">
        <v>3928.2899999999995</v>
      </c>
      <c r="J244" s="435">
        <v>2880.7460000000001</v>
      </c>
    </row>
    <row r="245" spans="1:10" s="453" customFormat="1" ht="29.25" customHeight="1" thickBot="1" x14ac:dyDescent="0.25">
      <c r="A245" s="788"/>
      <c r="B245" s="436" t="s">
        <v>922</v>
      </c>
      <c r="C245" s="436" t="s">
        <v>755</v>
      </c>
      <c r="D245" s="454">
        <v>14.2</v>
      </c>
      <c r="E245" s="454">
        <v>0.12</v>
      </c>
      <c r="F245" s="552" t="s">
        <v>774</v>
      </c>
      <c r="G245" s="589"/>
      <c r="H245" s="620"/>
      <c r="I245" s="855">
        <v>4704.51</v>
      </c>
      <c r="J245" s="438">
        <v>3449.9740000000006</v>
      </c>
    </row>
    <row r="246" spans="1:10" s="453" customFormat="1" ht="13.5" customHeight="1" thickTop="1" x14ac:dyDescent="0.2">
      <c r="A246" s="791" t="s">
        <v>732</v>
      </c>
      <c r="B246" s="643" t="s">
        <v>742</v>
      </c>
      <c r="C246" s="643" t="s">
        <v>733</v>
      </c>
      <c r="D246" s="474">
        <v>9.1999999999999993</v>
      </c>
      <c r="E246" s="474">
        <v>0.05</v>
      </c>
      <c r="F246" s="644"/>
      <c r="G246" s="645"/>
      <c r="H246" s="646"/>
      <c r="I246" s="853">
        <v>2266.5</v>
      </c>
      <c r="J246" s="452">
        <v>1662.1000000000001</v>
      </c>
    </row>
    <row r="247" spans="1:10" s="453" customFormat="1" ht="13.5" customHeight="1" x14ac:dyDescent="0.2">
      <c r="A247" s="754"/>
      <c r="B247" s="457" t="s">
        <v>744</v>
      </c>
      <c r="C247" s="457" t="s">
        <v>735</v>
      </c>
      <c r="D247" s="441">
        <v>10</v>
      </c>
      <c r="E247" s="441">
        <v>0.05</v>
      </c>
      <c r="F247" s="563"/>
      <c r="G247" s="607"/>
      <c r="H247" s="608"/>
      <c r="I247" s="854">
        <v>2361</v>
      </c>
      <c r="J247" s="435">
        <v>1731.4</v>
      </c>
    </row>
    <row r="248" spans="1:10" s="453" customFormat="1" ht="13.5" customHeight="1" x14ac:dyDescent="0.2">
      <c r="A248" s="754"/>
      <c r="B248" s="457" t="s">
        <v>746</v>
      </c>
      <c r="C248" s="457" t="s">
        <v>737</v>
      </c>
      <c r="D248" s="441">
        <v>10.199999999999999</v>
      </c>
      <c r="E248" s="441">
        <v>0.06</v>
      </c>
      <c r="F248" s="563"/>
      <c r="G248" s="607"/>
      <c r="H248" s="608"/>
      <c r="I248" s="854">
        <v>2455.5</v>
      </c>
      <c r="J248" s="435">
        <v>1800.7</v>
      </c>
    </row>
    <row r="249" spans="1:10" s="453" customFormat="1" ht="13.5" customHeight="1" x14ac:dyDescent="0.2">
      <c r="A249" s="754"/>
      <c r="B249" s="457" t="s">
        <v>748</v>
      </c>
      <c r="C249" s="457" t="s">
        <v>739</v>
      </c>
      <c r="D249" s="441">
        <v>11.2</v>
      </c>
      <c r="E249" s="441">
        <v>0.06</v>
      </c>
      <c r="F249" s="563"/>
      <c r="G249" s="607"/>
      <c r="H249" s="608"/>
      <c r="I249" s="854">
        <v>2551.5</v>
      </c>
      <c r="J249" s="435">
        <v>1871.1000000000001</v>
      </c>
    </row>
    <row r="250" spans="1:10" s="453" customFormat="1" ht="13.5" customHeight="1" x14ac:dyDescent="0.2">
      <c r="A250" s="754"/>
      <c r="B250" s="457" t="s">
        <v>743</v>
      </c>
      <c r="C250" s="457" t="s">
        <v>734</v>
      </c>
      <c r="D250" s="441">
        <v>10</v>
      </c>
      <c r="E250" s="441">
        <v>0.09</v>
      </c>
      <c r="F250" s="563" t="s">
        <v>808</v>
      </c>
      <c r="G250" s="607">
        <v>9.5</v>
      </c>
      <c r="H250" s="608"/>
      <c r="I250" s="854">
        <v>4075.5</v>
      </c>
      <c r="J250" s="435">
        <v>2988.7000000000003</v>
      </c>
    </row>
    <row r="251" spans="1:10" s="453" customFormat="1" ht="13.5" customHeight="1" x14ac:dyDescent="0.2">
      <c r="A251" s="754"/>
      <c r="B251" s="457" t="s">
        <v>745</v>
      </c>
      <c r="C251" s="457" t="s">
        <v>736</v>
      </c>
      <c r="D251" s="441">
        <v>12</v>
      </c>
      <c r="E251" s="441">
        <v>0.12</v>
      </c>
      <c r="F251" s="563" t="s">
        <v>837</v>
      </c>
      <c r="G251" s="607">
        <v>11.5</v>
      </c>
      <c r="H251" s="608"/>
      <c r="I251" s="854">
        <v>4570.5</v>
      </c>
      <c r="J251" s="435">
        <v>3351.7000000000003</v>
      </c>
    </row>
    <row r="252" spans="1:10" s="453" customFormat="1" ht="13.5" customHeight="1" x14ac:dyDescent="0.2">
      <c r="A252" s="754"/>
      <c r="B252" s="457" t="s">
        <v>1027</v>
      </c>
      <c r="C252" s="457" t="s">
        <v>1248</v>
      </c>
      <c r="D252" s="441">
        <v>13</v>
      </c>
      <c r="E252" s="441">
        <v>0.03</v>
      </c>
      <c r="F252" s="563" t="s">
        <v>837</v>
      </c>
      <c r="G252" s="607">
        <v>11.5</v>
      </c>
      <c r="H252" s="608"/>
      <c r="I252" s="854">
        <v>4405.5</v>
      </c>
      <c r="J252" s="435">
        <v>3230.7000000000003</v>
      </c>
    </row>
    <row r="253" spans="1:10" s="453" customFormat="1" ht="13.5" customHeight="1" x14ac:dyDescent="0.2">
      <c r="A253" s="754"/>
      <c r="B253" s="457" t="s">
        <v>747</v>
      </c>
      <c r="C253" s="457" t="s">
        <v>738</v>
      </c>
      <c r="D253" s="441">
        <v>14</v>
      </c>
      <c r="E253" s="441">
        <v>0.12</v>
      </c>
      <c r="F253" s="563" t="s">
        <v>805</v>
      </c>
      <c r="G253" s="607">
        <v>13</v>
      </c>
      <c r="H253" s="608"/>
      <c r="I253" s="854">
        <v>4797</v>
      </c>
      <c r="J253" s="435">
        <v>3517.8</v>
      </c>
    </row>
    <row r="254" spans="1:10" s="453" customFormat="1" ht="13.5" customHeight="1" x14ac:dyDescent="0.2">
      <c r="A254" s="754"/>
      <c r="B254" s="457" t="s">
        <v>749</v>
      </c>
      <c r="C254" s="457" t="s">
        <v>740</v>
      </c>
      <c r="D254" s="441">
        <v>15</v>
      </c>
      <c r="E254" s="441">
        <v>0.14000000000000001</v>
      </c>
      <c r="F254" s="563" t="s">
        <v>838</v>
      </c>
      <c r="G254" s="607">
        <v>14.6</v>
      </c>
      <c r="H254" s="608"/>
      <c r="I254" s="854">
        <v>5187</v>
      </c>
      <c r="J254" s="435">
        <v>3803.8</v>
      </c>
    </row>
    <row r="255" spans="1:10" s="453" customFormat="1" ht="13.5" customHeight="1" thickBot="1" x14ac:dyDescent="0.25">
      <c r="A255" s="755"/>
      <c r="B255" s="647" t="s">
        <v>750</v>
      </c>
      <c r="C255" s="647" t="s">
        <v>621</v>
      </c>
      <c r="D255" s="443">
        <v>32</v>
      </c>
      <c r="E255" s="443">
        <v>0.21</v>
      </c>
      <c r="F255" s="648"/>
      <c r="G255" s="649"/>
      <c r="H255" s="650"/>
      <c r="I255" s="855">
        <v>6139.5</v>
      </c>
      <c r="J255" s="438">
        <v>4502.3</v>
      </c>
    </row>
    <row r="256" spans="1:10" s="453" customFormat="1" ht="13.5" customHeight="1" thickTop="1" x14ac:dyDescent="0.2">
      <c r="A256" s="775" t="s">
        <v>154</v>
      </c>
      <c r="B256" s="460" t="s">
        <v>1028</v>
      </c>
      <c r="C256" s="460" t="s">
        <v>62</v>
      </c>
      <c r="D256" s="461">
        <v>16.5</v>
      </c>
      <c r="E256" s="461">
        <v>0.11</v>
      </c>
      <c r="F256" s="551"/>
      <c r="G256" s="583"/>
      <c r="H256" s="584"/>
      <c r="I256" s="853">
        <v>3778.5</v>
      </c>
      <c r="J256" s="452">
        <v>2770.9</v>
      </c>
    </row>
    <row r="257" spans="1:10" s="453" customFormat="1" ht="13.5" customHeight="1" x14ac:dyDescent="0.2">
      <c r="A257" s="775"/>
      <c r="B257" s="436" t="s">
        <v>770</v>
      </c>
      <c r="C257" s="436" t="s">
        <v>638</v>
      </c>
      <c r="D257" s="454">
        <v>17</v>
      </c>
      <c r="E257" s="454">
        <v>0.12</v>
      </c>
      <c r="F257" s="552"/>
      <c r="G257" s="587"/>
      <c r="H257" s="588"/>
      <c r="I257" s="854">
        <v>4534.5</v>
      </c>
      <c r="J257" s="435">
        <v>3325.3</v>
      </c>
    </row>
    <row r="258" spans="1:10" s="453" customFormat="1" ht="13.5" customHeight="1" x14ac:dyDescent="0.2">
      <c r="A258" s="776"/>
      <c r="B258" s="436" t="s">
        <v>1029</v>
      </c>
      <c r="C258" s="436" t="s">
        <v>801</v>
      </c>
      <c r="D258" s="454">
        <v>14.2</v>
      </c>
      <c r="E258" s="454">
        <v>0.12</v>
      </c>
      <c r="F258" s="552" t="s">
        <v>774</v>
      </c>
      <c r="G258" s="587">
        <v>15</v>
      </c>
      <c r="H258" s="588"/>
      <c r="I258" s="854">
        <v>5778</v>
      </c>
      <c r="J258" s="435">
        <v>4237.2000000000007</v>
      </c>
    </row>
    <row r="259" spans="1:10" s="453" customFormat="1" ht="13.5" customHeight="1" thickBot="1" x14ac:dyDescent="0.25">
      <c r="A259" s="777"/>
      <c r="B259" s="437" t="s">
        <v>679</v>
      </c>
      <c r="C259" s="437" t="s">
        <v>115</v>
      </c>
      <c r="D259" s="455">
        <v>18.2</v>
      </c>
      <c r="E259" s="455">
        <v>0.17</v>
      </c>
      <c r="F259" s="555" t="s">
        <v>772</v>
      </c>
      <c r="G259" s="589">
        <v>18</v>
      </c>
      <c r="H259" s="590"/>
      <c r="I259" s="855">
        <v>6424.5</v>
      </c>
      <c r="J259" s="438">
        <v>4711.3</v>
      </c>
    </row>
    <row r="260" spans="1:10" s="453" customFormat="1" ht="13.5" thickTop="1" x14ac:dyDescent="0.2">
      <c r="A260" s="764" t="s">
        <v>156</v>
      </c>
      <c r="B260" s="460" t="s">
        <v>989</v>
      </c>
      <c r="C260" s="460" t="s">
        <v>632</v>
      </c>
      <c r="D260" s="461">
        <v>6.5</v>
      </c>
      <c r="E260" s="461">
        <v>0.04</v>
      </c>
      <c r="F260" s="551"/>
      <c r="G260" s="583"/>
      <c r="H260" s="584"/>
      <c r="I260" s="853">
        <v>1588.5</v>
      </c>
      <c r="J260" s="452">
        <v>1164.9000000000001</v>
      </c>
    </row>
    <row r="261" spans="1:10" s="453" customFormat="1" ht="12.75" x14ac:dyDescent="0.2">
      <c r="A261" s="764"/>
      <c r="B261" s="426" t="s">
        <v>988</v>
      </c>
      <c r="C261" s="460" t="s">
        <v>986</v>
      </c>
      <c r="D261" s="461">
        <v>7.2</v>
      </c>
      <c r="E261" s="461">
        <v>0.05</v>
      </c>
      <c r="F261" s="551"/>
      <c r="G261" s="583"/>
      <c r="H261" s="584"/>
      <c r="I261" s="853">
        <v>1650</v>
      </c>
      <c r="J261" s="452">
        <v>1210</v>
      </c>
    </row>
    <row r="262" spans="1:10" s="427" customFormat="1" ht="12.75" customHeight="1" x14ac:dyDescent="0.2">
      <c r="A262" s="764"/>
      <c r="B262" s="426" t="s">
        <v>1058</v>
      </c>
      <c r="C262" s="426" t="s">
        <v>65</v>
      </c>
      <c r="D262" s="441">
        <v>8.5</v>
      </c>
      <c r="E262" s="441">
        <v>0.06</v>
      </c>
      <c r="F262" s="552"/>
      <c r="G262" s="587"/>
      <c r="H262" s="588"/>
      <c r="I262" s="854">
        <v>1765.5</v>
      </c>
      <c r="J262" s="435">
        <v>1294.7</v>
      </c>
    </row>
    <row r="263" spans="1:10" s="453" customFormat="1" ht="13.5" customHeight="1" x14ac:dyDescent="0.2">
      <c r="A263" s="784"/>
      <c r="B263" s="436" t="s">
        <v>757</v>
      </c>
      <c r="C263" s="436" t="s">
        <v>633</v>
      </c>
      <c r="D263" s="454">
        <v>11.7</v>
      </c>
      <c r="E263" s="454">
        <v>0.09</v>
      </c>
      <c r="F263" s="552" t="s">
        <v>808</v>
      </c>
      <c r="G263" s="587">
        <v>9.5</v>
      </c>
      <c r="H263" s="588"/>
      <c r="I263" s="854">
        <v>3642</v>
      </c>
      <c r="J263" s="435">
        <v>2670.8</v>
      </c>
    </row>
    <row r="264" spans="1:10" s="453" customFormat="1" ht="13.5" customHeight="1" x14ac:dyDescent="0.2">
      <c r="A264" s="784"/>
      <c r="B264" s="426" t="s">
        <v>991</v>
      </c>
      <c r="C264" s="436" t="s">
        <v>987</v>
      </c>
      <c r="D264" s="454">
        <v>10</v>
      </c>
      <c r="E264" s="454">
        <v>0.03</v>
      </c>
      <c r="F264" s="552" t="s">
        <v>837</v>
      </c>
      <c r="G264" s="587">
        <v>11.5</v>
      </c>
      <c r="H264" s="588"/>
      <c r="I264" s="854">
        <v>3316.5</v>
      </c>
      <c r="J264" s="435">
        <v>2432.1000000000004</v>
      </c>
    </row>
    <row r="265" spans="1:10" s="453" customFormat="1" ht="13.5" customHeight="1" x14ac:dyDescent="0.2">
      <c r="A265" s="784"/>
      <c r="B265" s="436" t="s">
        <v>1059</v>
      </c>
      <c r="C265" s="436" t="s">
        <v>105</v>
      </c>
      <c r="D265" s="454">
        <v>15.2</v>
      </c>
      <c r="E265" s="454">
        <v>0.14000000000000001</v>
      </c>
      <c r="F265" s="552" t="s">
        <v>773</v>
      </c>
      <c r="G265" s="587">
        <v>14.6</v>
      </c>
      <c r="H265" s="588"/>
      <c r="I265" s="854">
        <v>4395</v>
      </c>
      <c r="J265" s="435">
        <v>3223.0000000000005</v>
      </c>
    </row>
    <row r="266" spans="1:10" s="453" customFormat="1" ht="13.5" customHeight="1" x14ac:dyDescent="0.2">
      <c r="A266" s="785"/>
      <c r="B266" s="436" t="s">
        <v>990</v>
      </c>
      <c r="C266" s="436" t="s">
        <v>105</v>
      </c>
      <c r="D266" s="454">
        <v>16.2</v>
      </c>
      <c r="E266" s="454">
        <v>0.03</v>
      </c>
      <c r="F266" s="552" t="s">
        <v>773</v>
      </c>
      <c r="G266" s="587">
        <v>14.6</v>
      </c>
      <c r="H266" s="651"/>
      <c r="I266" s="854">
        <v>3865.5</v>
      </c>
      <c r="J266" s="435">
        <v>2834.7000000000003</v>
      </c>
    </row>
    <row r="267" spans="1:10" s="427" customFormat="1" ht="12.75" customHeight="1" thickBot="1" x14ac:dyDescent="0.25">
      <c r="A267" s="785"/>
      <c r="B267" s="430" t="s">
        <v>771</v>
      </c>
      <c r="C267" s="430" t="s">
        <v>784</v>
      </c>
      <c r="D267" s="442">
        <v>12.5</v>
      </c>
      <c r="E267" s="442">
        <v>7.0000000000000007E-2</v>
      </c>
      <c r="F267" s="556"/>
      <c r="G267" s="589"/>
      <c r="H267" s="620"/>
      <c r="I267" s="855">
        <v>2295</v>
      </c>
      <c r="J267" s="438">
        <v>1683.0000000000002</v>
      </c>
    </row>
    <row r="268" spans="1:10" s="427" customFormat="1" ht="13.5" thickTop="1" x14ac:dyDescent="0.2">
      <c r="A268" s="778" t="s">
        <v>460</v>
      </c>
      <c r="B268" s="473" t="s">
        <v>1036</v>
      </c>
      <c r="C268" s="473" t="s">
        <v>66</v>
      </c>
      <c r="D268" s="474">
        <v>13.5</v>
      </c>
      <c r="E268" s="474">
        <v>0.09</v>
      </c>
      <c r="F268" s="554"/>
      <c r="G268" s="583"/>
      <c r="H268" s="584"/>
      <c r="I268" s="853">
        <v>4156.5</v>
      </c>
      <c r="J268" s="452">
        <v>3048.1000000000004</v>
      </c>
    </row>
    <row r="269" spans="1:10" s="453" customFormat="1" ht="13.5" thickBot="1" x14ac:dyDescent="0.25">
      <c r="A269" s="779"/>
      <c r="B269" s="437" t="s">
        <v>1037</v>
      </c>
      <c r="C269" s="437" t="s">
        <v>106</v>
      </c>
      <c r="D269" s="455">
        <v>18</v>
      </c>
      <c r="E269" s="455">
        <v>0.17</v>
      </c>
      <c r="F269" s="555" t="s">
        <v>772</v>
      </c>
      <c r="G269" s="589">
        <v>18</v>
      </c>
      <c r="H269" s="590"/>
      <c r="I269" s="855">
        <v>6801</v>
      </c>
      <c r="J269" s="438">
        <v>4987.4000000000005</v>
      </c>
    </row>
    <row r="270" spans="1:10" s="626" customFormat="1" ht="13.5" customHeight="1" thickTop="1" x14ac:dyDescent="0.2">
      <c r="A270" s="780" t="s">
        <v>157</v>
      </c>
      <c r="B270" s="671" t="s">
        <v>680</v>
      </c>
      <c r="C270" s="671" t="s">
        <v>67</v>
      </c>
      <c r="D270" s="672">
        <v>13.5</v>
      </c>
      <c r="E270" s="672">
        <v>0.06</v>
      </c>
      <c r="F270" s="673"/>
      <c r="G270" s="686"/>
      <c r="H270" s="687"/>
      <c r="I270" s="856">
        <v>3802.2449999999999</v>
      </c>
      <c r="J270" s="688">
        <v>2788.3130000000001</v>
      </c>
    </row>
    <row r="271" spans="1:10" s="626" customFormat="1" ht="12.75" customHeight="1" x14ac:dyDescent="0.2">
      <c r="A271" s="758"/>
      <c r="B271" s="616" t="s">
        <v>681</v>
      </c>
      <c r="C271" s="616" t="s">
        <v>68</v>
      </c>
      <c r="D271" s="622">
        <v>14.2</v>
      </c>
      <c r="E271" s="622">
        <v>7.0000000000000007E-2</v>
      </c>
      <c r="F271" s="623"/>
      <c r="G271" s="690"/>
      <c r="H271" s="691"/>
      <c r="I271" s="857">
        <v>4050</v>
      </c>
      <c r="J271" s="689">
        <v>2970.0000000000005</v>
      </c>
    </row>
    <row r="272" spans="1:10" s="626" customFormat="1" ht="12.75" customHeight="1" x14ac:dyDescent="0.2">
      <c r="A272" s="758"/>
      <c r="B272" s="616" t="s">
        <v>682</v>
      </c>
      <c r="C272" s="616" t="s">
        <v>69</v>
      </c>
      <c r="D272" s="622">
        <v>16.5</v>
      </c>
      <c r="E272" s="622">
        <v>0.08</v>
      </c>
      <c r="F272" s="623"/>
      <c r="G272" s="690"/>
      <c r="H272" s="691"/>
      <c r="I272" s="857">
        <v>4298.1900000000005</v>
      </c>
      <c r="J272" s="689">
        <v>3152.0060000000003</v>
      </c>
    </row>
    <row r="273" spans="1:10" s="626" customFormat="1" ht="12.75" customHeight="1" x14ac:dyDescent="0.2">
      <c r="A273" s="758"/>
      <c r="B273" s="616" t="s">
        <v>684</v>
      </c>
      <c r="C273" s="616" t="s">
        <v>104</v>
      </c>
      <c r="D273" s="622">
        <v>17</v>
      </c>
      <c r="E273" s="622">
        <v>0.13</v>
      </c>
      <c r="F273" s="623" t="s">
        <v>805</v>
      </c>
      <c r="G273" s="690">
        <v>13</v>
      </c>
      <c r="H273" s="691"/>
      <c r="I273" s="857">
        <v>6156.1500000000005</v>
      </c>
      <c r="J273" s="689">
        <v>4514.5100000000011</v>
      </c>
    </row>
    <row r="274" spans="1:10" s="655" customFormat="1" ht="12.75" customHeight="1" x14ac:dyDescent="0.2">
      <c r="A274" s="758"/>
      <c r="B274" s="477" t="s">
        <v>685</v>
      </c>
      <c r="C274" s="477" t="s">
        <v>106</v>
      </c>
      <c r="D274" s="667">
        <v>26</v>
      </c>
      <c r="E274" s="667">
        <v>0.17</v>
      </c>
      <c r="F274" s="623" t="s">
        <v>772</v>
      </c>
      <c r="G274" s="690">
        <v>18</v>
      </c>
      <c r="H274" s="691"/>
      <c r="I274" s="857">
        <v>8632.5</v>
      </c>
      <c r="J274" s="689">
        <v>6330.5000000000009</v>
      </c>
    </row>
    <row r="275" spans="1:10" s="701" customFormat="1" ht="13.5" customHeight="1" x14ac:dyDescent="0.2">
      <c r="A275" s="758"/>
      <c r="B275" s="616" t="s">
        <v>686</v>
      </c>
      <c r="C275" s="616" t="s">
        <v>791</v>
      </c>
      <c r="D275" s="622">
        <v>28</v>
      </c>
      <c r="E275" s="622">
        <v>0.35</v>
      </c>
      <c r="F275" s="623" t="s">
        <v>786</v>
      </c>
      <c r="G275" s="690">
        <v>16.899999999999999</v>
      </c>
      <c r="H275" s="691"/>
      <c r="I275" s="857">
        <v>10155</v>
      </c>
      <c r="J275" s="689">
        <v>7447.0000000000009</v>
      </c>
    </row>
    <row r="276" spans="1:10" s="685" customFormat="1" ht="13.5" thickBot="1" x14ac:dyDescent="0.25">
      <c r="A276" s="759"/>
      <c r="B276" s="696" t="s">
        <v>683</v>
      </c>
      <c r="C276" s="696" t="s">
        <v>84</v>
      </c>
      <c r="D276" s="697">
        <v>34.5</v>
      </c>
      <c r="E276" s="697">
        <v>0.2</v>
      </c>
      <c r="F276" s="663"/>
      <c r="G276" s="698"/>
      <c r="H276" s="699"/>
      <c r="I276" s="858">
        <v>7768.2000000000007</v>
      </c>
      <c r="J276" s="700">
        <v>5696.68</v>
      </c>
    </row>
    <row r="277" spans="1:10" s="427" customFormat="1" ht="13.5" thickTop="1" x14ac:dyDescent="0.2">
      <c r="A277" s="781" t="s">
        <v>524</v>
      </c>
      <c r="B277" s="486" t="s">
        <v>687</v>
      </c>
      <c r="C277" s="473" t="s">
        <v>622</v>
      </c>
      <c r="D277" s="474">
        <v>7.5</v>
      </c>
      <c r="E277" s="474">
        <v>0.06</v>
      </c>
      <c r="F277" s="554"/>
      <c r="G277" s="583"/>
      <c r="H277" s="584"/>
      <c r="I277" s="854">
        <v>2835</v>
      </c>
      <c r="J277" s="435">
        <v>2079</v>
      </c>
    </row>
    <row r="278" spans="1:10" s="427" customFormat="1" ht="12.75" customHeight="1" x14ac:dyDescent="0.2">
      <c r="A278" s="775"/>
      <c r="B278" s="436" t="s">
        <v>689</v>
      </c>
      <c r="C278" s="426" t="s">
        <v>74</v>
      </c>
      <c r="D278" s="441">
        <v>8.9</v>
      </c>
      <c r="E278" s="441">
        <v>0.08</v>
      </c>
      <c r="F278" s="552"/>
      <c r="G278" s="587"/>
      <c r="H278" s="588"/>
      <c r="I278" s="854">
        <v>3117</v>
      </c>
      <c r="J278" s="435">
        <v>2285.8000000000002</v>
      </c>
    </row>
    <row r="279" spans="1:10" s="427" customFormat="1" ht="12.75" customHeight="1" x14ac:dyDescent="0.2">
      <c r="A279" s="775"/>
      <c r="B279" s="436" t="s">
        <v>691</v>
      </c>
      <c r="C279" s="426" t="s">
        <v>624</v>
      </c>
      <c r="D279" s="441">
        <v>9.1</v>
      </c>
      <c r="E279" s="441">
        <v>0.09</v>
      </c>
      <c r="F279" s="552"/>
      <c r="G279" s="587"/>
      <c r="H279" s="588"/>
      <c r="I279" s="854">
        <v>3211.5</v>
      </c>
      <c r="J279" s="435">
        <v>2355.1000000000004</v>
      </c>
    </row>
    <row r="280" spans="1:10" s="427" customFormat="1" ht="12.75" customHeight="1" x14ac:dyDescent="0.2">
      <c r="A280" s="775"/>
      <c r="B280" s="436" t="s">
        <v>693</v>
      </c>
      <c r="C280" s="426" t="s">
        <v>529</v>
      </c>
      <c r="D280" s="441">
        <v>10</v>
      </c>
      <c r="E280" s="441">
        <v>0.09</v>
      </c>
      <c r="F280" s="552"/>
      <c r="G280" s="587"/>
      <c r="H280" s="588"/>
      <c r="I280" s="854">
        <v>3531</v>
      </c>
      <c r="J280" s="435">
        <v>2589.4</v>
      </c>
    </row>
    <row r="281" spans="1:10" s="427" customFormat="1" ht="12.75" customHeight="1" x14ac:dyDescent="0.2">
      <c r="A281" s="775"/>
      <c r="B281" s="436" t="s">
        <v>695</v>
      </c>
      <c r="C281" s="426" t="s">
        <v>803</v>
      </c>
      <c r="D281" s="441">
        <v>11.2</v>
      </c>
      <c r="E281" s="441">
        <v>0.1</v>
      </c>
      <c r="F281" s="552"/>
      <c r="G281" s="587"/>
      <c r="H281" s="588"/>
      <c r="I281" s="854">
        <v>3967.5</v>
      </c>
      <c r="J281" s="435">
        <v>2909.5000000000005</v>
      </c>
    </row>
    <row r="282" spans="1:10" s="427" customFormat="1" ht="12.75" customHeight="1" x14ac:dyDescent="0.2">
      <c r="A282" s="775"/>
      <c r="B282" s="436" t="s">
        <v>794</v>
      </c>
      <c r="C282" s="430" t="s">
        <v>797</v>
      </c>
      <c r="D282" s="442">
        <v>13.6</v>
      </c>
      <c r="E282" s="442">
        <v>0.13</v>
      </c>
      <c r="F282" s="556"/>
      <c r="G282" s="605"/>
      <c r="H282" s="606"/>
      <c r="I282" s="854">
        <v>5737.5</v>
      </c>
      <c r="J282" s="435">
        <v>4207.5</v>
      </c>
    </row>
    <row r="283" spans="1:10" s="453" customFormat="1" ht="12.75" x14ac:dyDescent="0.2">
      <c r="A283" s="776"/>
      <c r="B283" s="436" t="s">
        <v>688</v>
      </c>
      <c r="C283" s="436" t="s">
        <v>623</v>
      </c>
      <c r="D283" s="454">
        <v>19</v>
      </c>
      <c r="E283" s="454">
        <v>0.1</v>
      </c>
      <c r="F283" s="552" t="s">
        <v>787</v>
      </c>
      <c r="G283" s="587">
        <v>12.4</v>
      </c>
      <c r="H283" s="588"/>
      <c r="I283" s="854">
        <v>4423.5</v>
      </c>
      <c r="J283" s="435">
        <v>3243.9</v>
      </c>
    </row>
    <row r="284" spans="1:10" s="453" customFormat="1" ht="12.75" customHeight="1" x14ac:dyDescent="0.2">
      <c r="A284" s="776"/>
      <c r="B284" s="436" t="s">
        <v>690</v>
      </c>
      <c r="C284" s="436" t="s">
        <v>305</v>
      </c>
      <c r="D284" s="454">
        <v>19.5</v>
      </c>
      <c r="E284" s="454">
        <v>0.15</v>
      </c>
      <c r="F284" s="552" t="s">
        <v>788</v>
      </c>
      <c r="G284" s="587">
        <v>14.4</v>
      </c>
      <c r="H284" s="588"/>
      <c r="I284" s="854">
        <v>5343</v>
      </c>
      <c r="J284" s="435">
        <v>3918.2000000000003</v>
      </c>
    </row>
    <row r="285" spans="1:10" s="453" customFormat="1" ht="12.75" customHeight="1" x14ac:dyDescent="0.2">
      <c r="A285" s="776"/>
      <c r="B285" s="436" t="s">
        <v>692</v>
      </c>
      <c r="C285" s="436" t="s">
        <v>106</v>
      </c>
      <c r="D285" s="454">
        <v>20</v>
      </c>
      <c r="E285" s="454">
        <v>0.17</v>
      </c>
      <c r="F285" s="552" t="s">
        <v>772</v>
      </c>
      <c r="G285" s="587">
        <v>18</v>
      </c>
      <c r="H285" s="588"/>
      <c r="I285" s="854">
        <v>6801</v>
      </c>
      <c r="J285" s="435">
        <v>4987.4000000000005</v>
      </c>
    </row>
    <row r="286" spans="1:10" s="453" customFormat="1" ht="12.75" x14ac:dyDescent="0.2">
      <c r="A286" s="776"/>
      <c r="B286" s="436" t="s">
        <v>694</v>
      </c>
      <c r="C286" s="436" t="s">
        <v>779</v>
      </c>
      <c r="D286" s="454">
        <v>22.5</v>
      </c>
      <c r="E286" s="454">
        <v>0.18</v>
      </c>
      <c r="F286" s="552" t="s">
        <v>809</v>
      </c>
      <c r="G286" s="587">
        <v>16.899999999999999</v>
      </c>
      <c r="H286" s="588"/>
      <c r="I286" s="854">
        <v>8607</v>
      </c>
      <c r="J286" s="435">
        <v>6311.8</v>
      </c>
    </row>
    <row r="287" spans="1:10" s="453" customFormat="1" ht="12.75" customHeight="1" x14ac:dyDescent="0.2">
      <c r="A287" s="782"/>
      <c r="B287" s="436" t="s">
        <v>1111</v>
      </c>
      <c r="C287" s="436" t="s">
        <v>785</v>
      </c>
      <c r="D287" s="454">
        <v>27</v>
      </c>
      <c r="E287" s="454">
        <v>0.24</v>
      </c>
      <c r="F287" s="552" t="s">
        <v>1041</v>
      </c>
      <c r="G287" s="587">
        <v>22</v>
      </c>
      <c r="H287" s="588"/>
      <c r="I287" s="854">
        <v>10959</v>
      </c>
      <c r="J287" s="435">
        <v>8036.6</v>
      </c>
    </row>
    <row r="288" spans="1:10" s="427" customFormat="1" ht="12.75" customHeight="1" x14ac:dyDescent="0.2">
      <c r="A288" s="782"/>
      <c r="B288" s="436" t="s">
        <v>795</v>
      </c>
      <c r="C288" s="430" t="s">
        <v>798</v>
      </c>
      <c r="D288" s="442">
        <v>26</v>
      </c>
      <c r="E288" s="442">
        <v>0.28000000000000003</v>
      </c>
      <c r="F288" s="556" t="s">
        <v>1002</v>
      </c>
      <c r="G288" s="605">
        <v>22</v>
      </c>
      <c r="H288" s="606"/>
      <c r="I288" s="854">
        <v>11994</v>
      </c>
      <c r="J288" s="435">
        <v>8795.6</v>
      </c>
    </row>
    <row r="289" spans="1:10" s="427" customFormat="1" ht="12.75" customHeight="1" thickBot="1" x14ac:dyDescent="0.25">
      <c r="A289" s="777"/>
      <c r="B289" s="437" t="s">
        <v>696</v>
      </c>
      <c r="C289" s="429" t="s">
        <v>621</v>
      </c>
      <c r="D289" s="443">
        <v>32</v>
      </c>
      <c r="E289" s="443">
        <v>0.21</v>
      </c>
      <c r="F289" s="555"/>
      <c r="G289" s="589"/>
      <c r="H289" s="590"/>
      <c r="I289" s="855">
        <v>6232.5</v>
      </c>
      <c r="J289" s="438">
        <v>4570.5</v>
      </c>
    </row>
    <row r="290" spans="1:10" s="427" customFormat="1" ht="12.75" customHeight="1" thickTop="1" x14ac:dyDescent="0.2">
      <c r="A290" s="792" t="s">
        <v>1038</v>
      </c>
      <c r="B290" s="433" t="s">
        <v>937</v>
      </c>
      <c r="C290" s="434" t="s">
        <v>953</v>
      </c>
      <c r="D290" s="459">
        <v>8.5</v>
      </c>
      <c r="E290" s="459">
        <v>0.05</v>
      </c>
      <c r="F290" s="557"/>
      <c r="G290" s="591"/>
      <c r="H290" s="592"/>
      <c r="I290" s="854">
        <v>3300</v>
      </c>
      <c r="J290" s="435">
        <v>2420</v>
      </c>
    </row>
    <row r="291" spans="1:10" s="427" customFormat="1" ht="12.75" customHeight="1" x14ac:dyDescent="0.2">
      <c r="A291" s="771"/>
      <c r="B291" s="436" t="s">
        <v>938</v>
      </c>
      <c r="C291" s="426" t="s">
        <v>954</v>
      </c>
      <c r="D291" s="441">
        <v>10</v>
      </c>
      <c r="E291" s="441">
        <v>0.06</v>
      </c>
      <c r="F291" s="552"/>
      <c r="G291" s="587"/>
      <c r="H291" s="588"/>
      <c r="I291" s="854">
        <v>3630</v>
      </c>
      <c r="J291" s="435">
        <v>2662</v>
      </c>
    </row>
    <row r="292" spans="1:10" s="427" customFormat="1" ht="12.75" customHeight="1" x14ac:dyDescent="0.2">
      <c r="A292" s="771"/>
      <c r="B292" s="436" t="s">
        <v>939</v>
      </c>
      <c r="C292" s="426" t="s">
        <v>955</v>
      </c>
      <c r="D292" s="441">
        <v>12.5</v>
      </c>
      <c r="E292" s="441">
        <v>0.08</v>
      </c>
      <c r="F292" s="552"/>
      <c r="G292" s="587"/>
      <c r="H292" s="588"/>
      <c r="I292" s="854">
        <v>4620</v>
      </c>
      <c r="J292" s="435">
        <v>3388.0000000000005</v>
      </c>
    </row>
    <row r="293" spans="1:10" s="427" customFormat="1" ht="12.75" customHeight="1" x14ac:dyDescent="0.2">
      <c r="A293" s="771"/>
      <c r="B293" s="436" t="s">
        <v>940</v>
      </c>
      <c r="C293" s="426" t="s">
        <v>956</v>
      </c>
      <c r="D293" s="441">
        <v>15</v>
      </c>
      <c r="E293" s="441">
        <v>0.09</v>
      </c>
      <c r="F293" s="552"/>
      <c r="G293" s="587"/>
      <c r="H293" s="588"/>
      <c r="I293" s="854">
        <v>5280</v>
      </c>
      <c r="J293" s="435">
        <v>3872.0000000000005</v>
      </c>
    </row>
    <row r="294" spans="1:10" s="427" customFormat="1" ht="12.75" customHeight="1" x14ac:dyDescent="0.2">
      <c r="A294" s="771"/>
      <c r="B294" s="436" t="s">
        <v>941</v>
      </c>
      <c r="C294" s="426" t="s">
        <v>957</v>
      </c>
      <c r="D294" s="441">
        <v>18</v>
      </c>
      <c r="E294" s="441">
        <v>0.11</v>
      </c>
      <c r="F294" s="552"/>
      <c r="G294" s="587"/>
      <c r="H294" s="588"/>
      <c r="I294" s="854">
        <v>5775</v>
      </c>
      <c r="J294" s="435">
        <v>4235</v>
      </c>
    </row>
    <row r="295" spans="1:10" s="427" customFormat="1" ht="12.75" customHeight="1" x14ac:dyDescent="0.2">
      <c r="A295" s="771"/>
      <c r="B295" s="436" t="s">
        <v>947</v>
      </c>
      <c r="C295" s="426" t="s">
        <v>958</v>
      </c>
      <c r="D295" s="441">
        <v>12.5</v>
      </c>
      <c r="E295" s="441">
        <v>0.12</v>
      </c>
      <c r="F295" s="552" t="s">
        <v>950</v>
      </c>
      <c r="G295" s="587">
        <v>11</v>
      </c>
      <c r="H295" s="588"/>
      <c r="I295" s="854">
        <v>4717.5</v>
      </c>
      <c r="J295" s="435">
        <v>3459.5000000000005</v>
      </c>
    </row>
    <row r="296" spans="1:10" s="427" customFormat="1" ht="12.75" customHeight="1" x14ac:dyDescent="0.2">
      <c r="A296" s="771"/>
      <c r="B296" s="436" t="s">
        <v>1064</v>
      </c>
      <c r="C296" s="426"/>
      <c r="D296" s="441" t="s">
        <v>1078</v>
      </c>
      <c r="E296" s="441"/>
      <c r="F296" s="552" t="s">
        <v>950</v>
      </c>
      <c r="G296" s="587">
        <v>11</v>
      </c>
      <c r="H296" s="588"/>
      <c r="I296" s="854">
        <v>4305</v>
      </c>
      <c r="J296" s="435">
        <v>3157.0000000000005</v>
      </c>
    </row>
    <row r="297" spans="1:10" s="427" customFormat="1" ht="12.75" customHeight="1" x14ac:dyDescent="0.2">
      <c r="A297" s="771"/>
      <c r="B297" s="436" t="s">
        <v>942</v>
      </c>
      <c r="C297" s="426" t="s">
        <v>959</v>
      </c>
      <c r="D297" s="441">
        <v>15.5</v>
      </c>
      <c r="E297" s="441">
        <v>0.16</v>
      </c>
      <c r="F297" s="552" t="s">
        <v>951</v>
      </c>
      <c r="G297" s="587">
        <v>15.7</v>
      </c>
      <c r="H297" s="588"/>
      <c r="I297" s="854">
        <v>6093</v>
      </c>
      <c r="J297" s="435">
        <v>4468.2000000000007</v>
      </c>
    </row>
    <row r="298" spans="1:10" s="427" customFormat="1" ht="12.75" customHeight="1" x14ac:dyDescent="0.2">
      <c r="A298" s="771"/>
      <c r="B298" s="436" t="s">
        <v>1063</v>
      </c>
      <c r="C298" s="426" t="s">
        <v>959</v>
      </c>
      <c r="D298" s="441">
        <v>15.5</v>
      </c>
      <c r="E298" s="441"/>
      <c r="F298" s="552" t="s">
        <v>951</v>
      </c>
      <c r="G298" s="587">
        <v>15.7</v>
      </c>
      <c r="H298" s="588"/>
      <c r="I298" s="854">
        <v>5680.5</v>
      </c>
      <c r="J298" s="435">
        <v>4165.7000000000007</v>
      </c>
    </row>
    <row r="299" spans="1:10" s="427" customFormat="1" ht="12.75" customHeight="1" x14ac:dyDescent="0.2">
      <c r="A299" s="771"/>
      <c r="B299" s="436" t="s">
        <v>943</v>
      </c>
      <c r="C299" s="426" t="s">
        <v>960</v>
      </c>
      <c r="D299" s="441">
        <v>18</v>
      </c>
      <c r="E299" s="441">
        <v>0.2</v>
      </c>
      <c r="F299" s="552" t="s">
        <v>809</v>
      </c>
      <c r="G299" s="587">
        <v>16.899999999999999</v>
      </c>
      <c r="H299" s="588"/>
      <c r="I299" s="854">
        <v>7252.5</v>
      </c>
      <c r="J299" s="435">
        <v>5318.5</v>
      </c>
    </row>
    <row r="300" spans="1:10" s="427" customFormat="1" ht="12.75" customHeight="1" x14ac:dyDescent="0.2">
      <c r="A300" s="771"/>
      <c r="B300" s="436" t="s">
        <v>1060</v>
      </c>
      <c r="C300" s="426" t="s">
        <v>960</v>
      </c>
      <c r="D300" s="441">
        <v>18</v>
      </c>
      <c r="E300" s="441">
        <v>0.04</v>
      </c>
      <c r="F300" s="552" t="s">
        <v>809</v>
      </c>
      <c r="G300" s="587">
        <v>16.899999999999999</v>
      </c>
      <c r="H300" s="588"/>
      <c r="I300" s="854">
        <v>6774</v>
      </c>
      <c r="J300" s="435">
        <v>4967.6000000000004</v>
      </c>
    </row>
    <row r="301" spans="1:10" s="427" customFormat="1" ht="12.75" customHeight="1" x14ac:dyDescent="0.2">
      <c r="A301" s="771"/>
      <c r="B301" s="436" t="s">
        <v>944</v>
      </c>
      <c r="C301" s="426" t="s">
        <v>961</v>
      </c>
      <c r="D301" s="441">
        <v>22.5</v>
      </c>
      <c r="E301" s="441">
        <v>0.25</v>
      </c>
      <c r="F301" s="552" t="s">
        <v>952</v>
      </c>
      <c r="G301" s="587">
        <v>18.3</v>
      </c>
      <c r="H301" s="588"/>
      <c r="I301" s="854">
        <v>9465</v>
      </c>
      <c r="J301" s="435">
        <v>6941.0000000000009</v>
      </c>
    </row>
    <row r="302" spans="1:10" s="427" customFormat="1" ht="12.75" customHeight="1" x14ac:dyDescent="0.2">
      <c r="A302" s="771"/>
      <c r="B302" s="436" t="s">
        <v>1061</v>
      </c>
      <c r="C302" s="426" t="s">
        <v>961</v>
      </c>
      <c r="D302" s="441">
        <v>22.5</v>
      </c>
      <c r="E302" s="441">
        <v>0.04</v>
      </c>
      <c r="F302" s="552" t="s">
        <v>952</v>
      </c>
      <c r="G302" s="587">
        <v>18.3</v>
      </c>
      <c r="H302" s="588"/>
      <c r="I302" s="854">
        <v>8887.5</v>
      </c>
      <c r="J302" s="435">
        <v>6517.5000000000009</v>
      </c>
    </row>
    <row r="303" spans="1:10" s="427" customFormat="1" ht="12.75" customHeight="1" x14ac:dyDescent="0.2">
      <c r="A303" s="771"/>
      <c r="B303" s="436" t="s">
        <v>945</v>
      </c>
      <c r="C303" s="426" t="s">
        <v>962</v>
      </c>
      <c r="D303" s="441">
        <v>26</v>
      </c>
      <c r="E303" s="441">
        <v>0.3</v>
      </c>
      <c r="F303" s="552" t="s">
        <v>1002</v>
      </c>
      <c r="G303" s="587">
        <v>22</v>
      </c>
      <c r="H303" s="588"/>
      <c r="I303" s="854">
        <v>10485</v>
      </c>
      <c r="J303" s="435">
        <v>7689.0000000000009</v>
      </c>
    </row>
    <row r="304" spans="1:10" s="427" customFormat="1" ht="12.75" customHeight="1" x14ac:dyDescent="0.2">
      <c r="A304" s="771"/>
      <c r="B304" s="436" t="s">
        <v>1062</v>
      </c>
      <c r="C304" s="430" t="s">
        <v>962</v>
      </c>
      <c r="D304" s="441">
        <v>26</v>
      </c>
      <c r="E304" s="442">
        <v>0.06</v>
      </c>
      <c r="F304" s="552" t="s">
        <v>1002</v>
      </c>
      <c r="G304" s="587">
        <v>22</v>
      </c>
      <c r="H304" s="606"/>
      <c r="I304" s="859">
        <v>9841.5</v>
      </c>
      <c r="J304" s="458">
        <v>7217.1</v>
      </c>
    </row>
    <row r="305" spans="1:22" s="427" customFormat="1" ht="12.75" customHeight="1" thickBot="1" x14ac:dyDescent="0.25">
      <c r="A305" s="772"/>
      <c r="B305" s="437" t="s">
        <v>946</v>
      </c>
      <c r="C305" s="429" t="s">
        <v>963</v>
      </c>
      <c r="D305" s="443">
        <v>26</v>
      </c>
      <c r="E305" s="443">
        <v>0.22</v>
      </c>
      <c r="F305" s="555"/>
      <c r="G305" s="589"/>
      <c r="H305" s="590"/>
      <c r="I305" s="855">
        <v>5775</v>
      </c>
      <c r="J305" s="438">
        <v>4235</v>
      </c>
    </row>
    <row r="306" spans="1:22" s="450" customFormat="1" ht="21" customHeight="1" thickTop="1" thickBot="1" x14ac:dyDescent="0.25">
      <c r="A306" s="797" t="s">
        <v>1072</v>
      </c>
      <c r="B306" s="798"/>
      <c r="C306" s="798"/>
      <c r="D306" s="798"/>
      <c r="E306" s="798"/>
      <c r="F306" s="798"/>
      <c r="G306" s="798"/>
      <c r="H306" s="798"/>
      <c r="I306" s="798"/>
      <c r="J306" s="798"/>
    </row>
    <row r="307" spans="1:22" s="425" customFormat="1" ht="39.950000000000003" customHeight="1" thickTop="1" x14ac:dyDescent="0.2">
      <c r="A307" s="508"/>
      <c r="B307" s="412" t="s">
        <v>1073</v>
      </c>
      <c r="C307" s="463" t="s">
        <v>1249</v>
      </c>
      <c r="D307" s="463"/>
      <c r="E307" s="536"/>
      <c r="F307" s="564"/>
      <c r="G307" s="541"/>
      <c r="H307" s="540"/>
      <c r="I307" s="809"/>
      <c r="J307" s="809"/>
    </row>
    <row r="308" spans="1:22" s="425" customFormat="1" ht="39.950000000000003" customHeight="1" x14ac:dyDescent="0.2">
      <c r="A308" s="509"/>
      <c r="B308" s="411" t="s">
        <v>1074</v>
      </c>
      <c r="C308" s="462" t="s">
        <v>1250</v>
      </c>
      <c r="D308" s="462"/>
      <c r="E308" s="537"/>
      <c r="F308" s="565"/>
      <c r="G308" s="543"/>
      <c r="H308" s="542"/>
      <c r="I308" s="810"/>
      <c r="J308" s="810"/>
    </row>
    <row r="309" spans="1:22" s="425" customFormat="1" ht="39.950000000000003" customHeight="1" x14ac:dyDescent="0.2">
      <c r="A309" s="509"/>
      <c r="B309" s="411" t="s">
        <v>1075</v>
      </c>
      <c r="C309" s="462" t="s">
        <v>1251</v>
      </c>
      <c r="D309" s="462"/>
      <c r="E309" s="537"/>
      <c r="F309" s="565"/>
      <c r="G309" s="543"/>
      <c r="H309" s="542"/>
      <c r="I309" s="810"/>
      <c r="J309" s="810"/>
    </row>
    <row r="310" spans="1:22" s="425" customFormat="1" ht="39.950000000000003" customHeight="1" x14ac:dyDescent="0.2">
      <c r="A310" s="510"/>
      <c r="B310" s="411" t="s">
        <v>1076</v>
      </c>
      <c r="C310" s="462" t="s">
        <v>1253</v>
      </c>
      <c r="D310" s="462"/>
      <c r="E310" s="537"/>
      <c r="F310" s="565"/>
      <c r="G310" s="543"/>
      <c r="H310" s="542"/>
      <c r="I310" s="810"/>
      <c r="J310" s="810"/>
    </row>
    <row r="311" spans="1:22" s="467" customFormat="1" ht="39.950000000000003" customHeight="1" thickBot="1" x14ac:dyDescent="0.25">
      <c r="A311" s="511"/>
      <c r="B311" s="464" t="s">
        <v>1077</v>
      </c>
      <c r="C311" s="439" t="s">
        <v>1252</v>
      </c>
      <c r="D311" s="465"/>
      <c r="E311" s="447"/>
      <c r="F311" s="561"/>
      <c r="G311" s="603"/>
      <c r="H311" s="604"/>
      <c r="I311" s="808"/>
      <c r="J311" s="808"/>
    </row>
    <row r="312" spans="1:22" s="493" customFormat="1" thickTop="1" x14ac:dyDescent="0.25">
      <c r="A312" s="800" t="s">
        <v>936</v>
      </c>
      <c r="B312" s="491" t="s">
        <v>698</v>
      </c>
      <c r="C312" s="491" t="s">
        <v>702</v>
      </c>
      <c r="D312" s="492"/>
      <c r="E312" s="546"/>
      <c r="F312" s="566"/>
      <c r="G312" s="609"/>
      <c r="H312" s="610"/>
      <c r="I312" s="811"/>
      <c r="J312" s="811"/>
    </row>
    <row r="313" spans="1:22" s="493" customFormat="1" ht="15" x14ac:dyDescent="0.25">
      <c r="A313" s="800"/>
      <c r="B313" s="494" t="s">
        <v>1079</v>
      </c>
      <c r="C313" s="494" t="s">
        <v>699</v>
      </c>
      <c r="D313" s="495"/>
      <c r="E313" s="547"/>
      <c r="F313" s="567"/>
      <c r="G313" s="611"/>
      <c r="H313" s="612"/>
      <c r="I313" s="812"/>
      <c r="J313" s="812"/>
    </row>
    <row r="314" spans="1:22" s="493" customFormat="1" ht="15" x14ac:dyDescent="0.25">
      <c r="A314" s="800"/>
      <c r="B314" s="494" t="s">
        <v>1080</v>
      </c>
      <c r="C314" s="494" t="s">
        <v>707</v>
      </c>
      <c r="D314" s="495"/>
      <c r="E314" s="547"/>
      <c r="F314" s="567"/>
      <c r="G314" s="611"/>
      <c r="H314" s="612"/>
      <c r="I314" s="812"/>
      <c r="J314" s="812"/>
    </row>
    <row r="315" spans="1:22" s="493" customFormat="1" ht="15" x14ac:dyDescent="0.25">
      <c r="A315" s="800"/>
      <c r="B315" s="494" t="s">
        <v>701</v>
      </c>
      <c r="C315" s="494" t="s">
        <v>704</v>
      </c>
      <c r="D315" s="495"/>
      <c r="E315" s="547"/>
      <c r="F315" s="567"/>
      <c r="G315" s="611"/>
      <c r="H315" s="612"/>
      <c r="I315" s="812"/>
      <c r="J315" s="812"/>
    </row>
    <row r="316" spans="1:22" s="493" customFormat="1" ht="15" x14ac:dyDescent="0.25">
      <c r="A316" s="800"/>
      <c r="B316" s="494" t="s">
        <v>700</v>
      </c>
      <c r="C316" s="494" t="s">
        <v>705</v>
      </c>
      <c r="D316" s="495"/>
      <c r="E316" s="547"/>
      <c r="F316" s="567"/>
      <c r="G316" s="611"/>
      <c r="H316" s="612"/>
      <c r="I316" s="812"/>
      <c r="J316" s="812"/>
    </row>
    <row r="317" spans="1:22" s="493" customFormat="1" ht="15" x14ac:dyDescent="0.25">
      <c r="A317" s="800"/>
      <c r="B317" s="494" t="s">
        <v>703</v>
      </c>
      <c r="C317" s="494" t="s">
        <v>706</v>
      </c>
      <c r="D317" s="495"/>
      <c r="E317" s="547"/>
      <c r="F317" s="567"/>
      <c r="G317" s="611"/>
      <c r="H317" s="612"/>
      <c r="I317" s="812"/>
      <c r="J317" s="812"/>
    </row>
    <row r="318" spans="1:22" s="420" customFormat="1" ht="13.5" customHeight="1" thickBot="1" x14ac:dyDescent="0.25">
      <c r="A318" s="801" t="s">
        <v>163</v>
      </c>
      <c r="B318" s="802"/>
      <c r="C318" s="802"/>
      <c r="D318" s="802"/>
      <c r="E318" s="802"/>
      <c r="F318" s="802"/>
      <c r="G318" s="803"/>
      <c r="H318" s="803"/>
      <c r="I318" s="803"/>
      <c r="J318" s="803"/>
      <c r="K318" s="419"/>
      <c r="L318" s="419"/>
      <c r="M318" s="419"/>
      <c r="N318" s="419"/>
      <c r="O318" s="419"/>
      <c r="P318" s="419"/>
      <c r="Q318" s="419"/>
      <c r="R318" s="419"/>
      <c r="S318" s="419"/>
      <c r="T318" s="419"/>
      <c r="U318" s="419"/>
      <c r="V318" s="419"/>
    </row>
    <row r="319" spans="1:22" s="422" customFormat="1" ht="32.25" thickBot="1" x14ac:dyDescent="0.25">
      <c r="A319" s="512" t="s">
        <v>163</v>
      </c>
      <c r="B319" s="414" t="s">
        <v>654</v>
      </c>
      <c r="C319" s="415" t="s">
        <v>655</v>
      </c>
      <c r="D319" s="416" t="s">
        <v>1042</v>
      </c>
      <c r="E319" s="416" t="s">
        <v>1043</v>
      </c>
      <c r="F319" s="568" t="s">
        <v>790</v>
      </c>
      <c r="G319" s="544"/>
      <c r="H319" s="575"/>
      <c r="I319" s="813"/>
      <c r="J319" s="813"/>
      <c r="K319" s="421"/>
      <c r="L319" s="421"/>
      <c r="M319" s="421"/>
      <c r="N319" s="421"/>
      <c r="O319" s="421"/>
      <c r="P319" s="421"/>
      <c r="Q319" s="421"/>
      <c r="R319" s="421"/>
      <c r="S319" s="421"/>
      <c r="T319" s="421"/>
      <c r="U319" s="421"/>
      <c r="V319" s="421"/>
    </row>
    <row r="320" spans="1:22" s="500" customFormat="1" ht="15" customHeight="1" x14ac:dyDescent="0.2">
      <c r="A320" s="795"/>
      <c r="B320" s="496" t="s">
        <v>1152</v>
      </c>
      <c r="C320" s="497" t="s">
        <v>116</v>
      </c>
      <c r="D320" s="498">
        <v>15</v>
      </c>
      <c r="E320" s="527">
        <v>0.06</v>
      </c>
      <c r="F320" s="569" t="s">
        <v>760</v>
      </c>
      <c r="G320" s="613"/>
      <c r="H320" s="614"/>
      <c r="I320" s="814"/>
      <c r="J320" s="814"/>
    </row>
    <row r="321" spans="1:22" s="500" customFormat="1" ht="15" customHeight="1" x14ac:dyDescent="0.2">
      <c r="A321" s="795"/>
      <c r="B321" s="496" t="s">
        <v>1120</v>
      </c>
      <c r="C321" s="497" t="s">
        <v>117</v>
      </c>
      <c r="D321" s="498">
        <v>14.6</v>
      </c>
      <c r="E321" s="527">
        <v>0.05</v>
      </c>
      <c r="F321" s="570" t="s">
        <v>760</v>
      </c>
      <c r="G321" s="613"/>
      <c r="H321" s="614"/>
      <c r="I321" s="814"/>
      <c r="J321" s="814"/>
    </row>
    <row r="322" spans="1:22" s="500" customFormat="1" ht="15" customHeight="1" x14ac:dyDescent="0.2">
      <c r="A322" s="795"/>
      <c r="B322" s="496" t="s">
        <v>1121</v>
      </c>
      <c r="C322" s="497" t="s">
        <v>118</v>
      </c>
      <c r="D322" s="498">
        <v>15.2</v>
      </c>
      <c r="E322" s="527">
        <v>0.05</v>
      </c>
      <c r="F322" s="570" t="s">
        <v>760</v>
      </c>
      <c r="G322" s="613"/>
      <c r="H322" s="614"/>
      <c r="I322" s="814"/>
      <c r="J322" s="814"/>
    </row>
    <row r="323" spans="1:22" s="500" customFormat="1" ht="15" x14ac:dyDescent="0.2">
      <c r="A323" s="795"/>
      <c r="B323" s="496" t="s">
        <v>864</v>
      </c>
      <c r="C323" s="497" t="s">
        <v>129</v>
      </c>
      <c r="D323" s="498">
        <v>8</v>
      </c>
      <c r="E323" s="527">
        <v>0.1</v>
      </c>
      <c r="F323" s="570" t="s">
        <v>811</v>
      </c>
      <c r="G323" s="613"/>
      <c r="H323" s="614"/>
      <c r="I323" s="814"/>
      <c r="J323" s="814"/>
    </row>
    <row r="324" spans="1:22" s="500" customFormat="1" ht="15" x14ac:dyDescent="0.2">
      <c r="A324" s="795"/>
      <c r="B324" s="496" t="s">
        <v>1112</v>
      </c>
      <c r="C324" s="497" t="s">
        <v>1113</v>
      </c>
      <c r="D324" s="498">
        <v>16.2</v>
      </c>
      <c r="E324" s="527"/>
      <c r="F324" s="570" t="s">
        <v>1114</v>
      </c>
      <c r="G324" s="613"/>
      <c r="H324" s="614"/>
      <c r="I324" s="814"/>
      <c r="J324" s="814"/>
    </row>
    <row r="325" spans="1:22" s="500" customFormat="1" ht="15" x14ac:dyDescent="0.2">
      <c r="A325" s="795"/>
      <c r="B325" s="496" t="s">
        <v>1115</v>
      </c>
      <c r="C325" s="497" t="s">
        <v>1116</v>
      </c>
      <c r="D325" s="498">
        <v>20.2</v>
      </c>
      <c r="E325" s="527"/>
      <c r="F325" s="570" t="s">
        <v>1114</v>
      </c>
      <c r="G325" s="613"/>
      <c r="H325" s="614"/>
      <c r="I325" s="814"/>
      <c r="J325" s="814"/>
    </row>
    <row r="326" spans="1:22" s="500" customFormat="1" ht="15" x14ac:dyDescent="0.2">
      <c r="A326" s="795"/>
      <c r="B326" s="496" t="s">
        <v>1117</v>
      </c>
      <c r="C326" s="497" t="s">
        <v>1118</v>
      </c>
      <c r="D326" s="498">
        <v>21.6</v>
      </c>
      <c r="E326" s="527"/>
      <c r="F326" s="570" t="s">
        <v>1114</v>
      </c>
      <c r="G326" s="613"/>
      <c r="H326" s="614"/>
      <c r="I326" s="814"/>
      <c r="J326" s="814"/>
    </row>
    <row r="327" spans="1:22" s="500" customFormat="1" ht="15" x14ac:dyDescent="0.2">
      <c r="A327" s="795"/>
      <c r="B327" s="496" t="s">
        <v>1157</v>
      </c>
      <c r="C327" s="497" t="s">
        <v>881</v>
      </c>
      <c r="D327" s="498">
        <v>14</v>
      </c>
      <c r="E327" s="527"/>
      <c r="F327" s="570" t="s">
        <v>811</v>
      </c>
      <c r="G327" s="613"/>
      <c r="H327" s="614"/>
      <c r="I327" s="814"/>
      <c r="J327" s="814"/>
    </row>
    <row r="328" spans="1:22" s="500" customFormat="1" ht="15" x14ac:dyDescent="0.2">
      <c r="A328" s="795"/>
      <c r="B328" s="496" t="s">
        <v>1158</v>
      </c>
      <c r="C328" s="497" t="s">
        <v>882</v>
      </c>
      <c r="D328" s="498">
        <v>15.6</v>
      </c>
      <c r="E328" s="527"/>
      <c r="F328" s="570" t="s">
        <v>811</v>
      </c>
      <c r="G328" s="613"/>
      <c r="H328" s="614"/>
      <c r="I328" s="814"/>
      <c r="J328" s="814"/>
    </row>
    <row r="329" spans="1:22" s="502" customFormat="1" ht="15" x14ac:dyDescent="0.2">
      <c r="A329" s="795"/>
      <c r="B329" s="496" t="s">
        <v>767</v>
      </c>
      <c r="C329" s="501" t="s">
        <v>643</v>
      </c>
      <c r="D329" s="498">
        <v>12.4</v>
      </c>
      <c r="E329" s="528">
        <v>0.05</v>
      </c>
      <c r="F329" s="569" t="s">
        <v>760</v>
      </c>
      <c r="G329" s="613"/>
      <c r="H329" s="614"/>
      <c r="I329" s="814"/>
      <c r="J329" s="814"/>
      <c r="K329" s="500"/>
      <c r="L329" s="500"/>
      <c r="M329" s="500"/>
      <c r="N329" s="500"/>
      <c r="O329" s="500"/>
      <c r="P329" s="500"/>
      <c r="Q329" s="500"/>
      <c r="R329" s="500"/>
      <c r="S329" s="500"/>
      <c r="T329" s="500"/>
      <c r="U329" s="500"/>
      <c r="V329" s="500"/>
    </row>
    <row r="330" spans="1:22" s="500" customFormat="1" ht="15" x14ac:dyDescent="0.2">
      <c r="A330" s="795"/>
      <c r="B330" s="496" t="s">
        <v>1125</v>
      </c>
      <c r="C330" s="497"/>
      <c r="D330" s="498">
        <v>29</v>
      </c>
      <c r="E330" s="527"/>
      <c r="F330" s="570" t="s">
        <v>811</v>
      </c>
      <c r="G330" s="613"/>
      <c r="H330" s="614"/>
      <c r="I330" s="814"/>
      <c r="J330" s="814"/>
    </row>
    <row r="331" spans="1:22" s="500" customFormat="1" ht="15" x14ac:dyDescent="0.2">
      <c r="A331" s="795"/>
      <c r="B331" s="496" t="s">
        <v>856</v>
      </c>
      <c r="C331" s="497" t="s">
        <v>462</v>
      </c>
      <c r="D331" s="498">
        <v>22.6</v>
      </c>
      <c r="E331" s="527">
        <v>0.1</v>
      </c>
      <c r="F331" s="570" t="s">
        <v>760</v>
      </c>
      <c r="G331" s="613"/>
      <c r="H331" s="614"/>
      <c r="I331" s="814"/>
      <c r="J331" s="814"/>
    </row>
    <row r="332" spans="1:22" s="500" customFormat="1" ht="15" x14ac:dyDescent="0.2">
      <c r="A332" s="795"/>
      <c r="B332" s="496" t="s">
        <v>859</v>
      </c>
      <c r="C332" s="497" t="s">
        <v>983</v>
      </c>
      <c r="D332" s="498"/>
      <c r="E332" s="527">
        <v>0.06</v>
      </c>
      <c r="F332" s="570" t="s">
        <v>1114</v>
      </c>
      <c r="G332" s="613"/>
      <c r="H332" s="614"/>
      <c r="I332" s="814"/>
      <c r="J332" s="814"/>
    </row>
    <row r="333" spans="1:22" s="500" customFormat="1" ht="15" x14ac:dyDescent="0.2">
      <c r="A333" s="795"/>
      <c r="B333" s="496" t="s">
        <v>860</v>
      </c>
      <c r="C333" s="497" t="s">
        <v>883</v>
      </c>
      <c r="D333" s="498">
        <v>18</v>
      </c>
      <c r="E333" s="527">
        <v>0.08</v>
      </c>
      <c r="F333" s="570" t="s">
        <v>1114</v>
      </c>
      <c r="G333" s="613"/>
      <c r="H333" s="614"/>
      <c r="I333" s="814"/>
      <c r="J333" s="814"/>
    </row>
    <row r="334" spans="1:22" s="500" customFormat="1" ht="15" x14ac:dyDescent="0.2">
      <c r="A334" s="795"/>
      <c r="B334" s="496" t="s">
        <v>861</v>
      </c>
      <c r="C334" s="497" t="s">
        <v>886</v>
      </c>
      <c r="D334" s="498">
        <v>22</v>
      </c>
      <c r="E334" s="527">
        <v>0.11</v>
      </c>
      <c r="F334" s="570" t="s">
        <v>1114</v>
      </c>
      <c r="G334" s="613"/>
      <c r="H334" s="614"/>
      <c r="I334" s="814"/>
      <c r="J334" s="814"/>
    </row>
    <row r="335" spans="1:22" s="500" customFormat="1" ht="15" x14ac:dyDescent="0.2">
      <c r="A335" s="795"/>
      <c r="B335" s="496" t="s">
        <v>1124</v>
      </c>
      <c r="C335" s="497" t="s">
        <v>124</v>
      </c>
      <c r="D335" s="498">
        <v>28</v>
      </c>
      <c r="E335" s="527"/>
      <c r="F335" s="570" t="s">
        <v>1114</v>
      </c>
      <c r="G335" s="613"/>
      <c r="H335" s="614"/>
      <c r="I335" s="814"/>
      <c r="J335" s="814"/>
    </row>
    <row r="336" spans="1:22" s="500" customFormat="1" ht="15" x14ac:dyDescent="0.2">
      <c r="A336" s="795"/>
      <c r="B336" s="496" t="s">
        <v>863</v>
      </c>
      <c r="C336" s="497" t="s">
        <v>121</v>
      </c>
      <c r="D336" s="498">
        <v>22</v>
      </c>
      <c r="E336" s="527">
        <v>0.09</v>
      </c>
      <c r="F336" s="570" t="s">
        <v>760</v>
      </c>
      <c r="G336" s="613"/>
      <c r="H336" s="614"/>
      <c r="I336" s="814"/>
      <c r="J336" s="814"/>
    </row>
    <row r="337" spans="1:22" s="500" customFormat="1" ht="15" x14ac:dyDescent="0.2">
      <c r="A337" s="795"/>
      <c r="B337" s="496" t="s">
        <v>1119</v>
      </c>
      <c r="C337" s="503" t="s">
        <v>1082</v>
      </c>
      <c r="D337" s="504">
        <v>9</v>
      </c>
      <c r="E337" s="504">
        <v>0.02</v>
      </c>
      <c r="F337" s="570" t="s">
        <v>760</v>
      </c>
      <c r="G337" s="613"/>
      <c r="H337" s="614"/>
      <c r="I337" s="814"/>
      <c r="J337" s="814"/>
    </row>
    <row r="338" spans="1:22" s="500" customFormat="1" ht="15" x14ac:dyDescent="0.2">
      <c r="A338" s="795"/>
      <c r="B338" s="496" t="s">
        <v>839</v>
      </c>
      <c r="C338" s="497" t="s">
        <v>646</v>
      </c>
      <c r="D338" s="498">
        <v>14.4</v>
      </c>
      <c r="E338" s="527">
        <v>0.05</v>
      </c>
      <c r="F338" s="570" t="s">
        <v>760</v>
      </c>
      <c r="G338" s="613"/>
      <c r="H338" s="614"/>
      <c r="I338" s="814"/>
      <c r="J338" s="814"/>
    </row>
    <row r="339" spans="1:22" s="500" customFormat="1" ht="30" x14ac:dyDescent="0.2">
      <c r="A339" s="795"/>
      <c r="B339" s="496" t="s">
        <v>1122</v>
      </c>
      <c r="C339" s="497" t="s">
        <v>119</v>
      </c>
      <c r="D339" s="498">
        <v>18</v>
      </c>
      <c r="E339" s="527">
        <v>0.1</v>
      </c>
      <c r="F339" s="570" t="s">
        <v>760</v>
      </c>
      <c r="G339" s="613"/>
      <c r="H339" s="614"/>
      <c r="I339" s="814"/>
      <c r="J339" s="814"/>
    </row>
    <row r="340" spans="1:22" s="500" customFormat="1" ht="30" x14ac:dyDescent="0.2">
      <c r="A340" s="795"/>
      <c r="B340" s="496" t="s">
        <v>1123</v>
      </c>
      <c r="C340" s="497" t="s">
        <v>130</v>
      </c>
      <c r="D340" s="498">
        <v>14</v>
      </c>
      <c r="E340" s="527">
        <v>0.03</v>
      </c>
      <c r="F340" s="570" t="s">
        <v>760</v>
      </c>
      <c r="G340" s="613"/>
      <c r="H340" s="614"/>
      <c r="I340" s="814"/>
      <c r="J340" s="814"/>
    </row>
    <row r="341" spans="1:22" s="500" customFormat="1" ht="30" x14ac:dyDescent="0.2">
      <c r="A341" s="795"/>
      <c r="B341" s="496" t="s">
        <v>1089</v>
      </c>
      <c r="C341" s="497" t="s">
        <v>131</v>
      </c>
      <c r="D341" s="498">
        <v>15</v>
      </c>
      <c r="E341" s="527">
        <v>0.03</v>
      </c>
      <c r="F341" s="570" t="s">
        <v>760</v>
      </c>
      <c r="G341" s="613"/>
      <c r="H341" s="614"/>
      <c r="I341" s="814"/>
      <c r="J341" s="814"/>
    </row>
    <row r="342" spans="1:22" s="500" customFormat="1" ht="30" x14ac:dyDescent="0.2">
      <c r="A342" s="795"/>
      <c r="B342" s="496" t="s">
        <v>1090</v>
      </c>
      <c r="C342" s="497" t="s">
        <v>131</v>
      </c>
      <c r="D342" s="498">
        <v>15</v>
      </c>
      <c r="E342" s="527">
        <v>0.04</v>
      </c>
      <c r="F342" s="570" t="s">
        <v>760</v>
      </c>
      <c r="G342" s="613"/>
      <c r="H342" s="614"/>
      <c r="I342" s="814"/>
      <c r="J342" s="814"/>
    </row>
    <row r="343" spans="1:22" s="500" customFormat="1" ht="15" x14ac:dyDescent="0.2">
      <c r="A343" s="795"/>
      <c r="B343" s="496" t="s">
        <v>867</v>
      </c>
      <c r="C343" s="497" t="s">
        <v>1081</v>
      </c>
      <c r="D343" s="498">
        <v>10.5</v>
      </c>
      <c r="E343" s="527"/>
      <c r="F343" s="570" t="s">
        <v>810</v>
      </c>
      <c r="G343" s="613"/>
      <c r="H343" s="614"/>
      <c r="I343" s="814"/>
      <c r="J343" s="814"/>
    </row>
    <row r="344" spans="1:22" s="502" customFormat="1" ht="15" x14ac:dyDescent="0.2">
      <c r="A344" s="795"/>
      <c r="B344" s="496" t="s">
        <v>865</v>
      </c>
      <c r="C344" s="501" t="s">
        <v>880</v>
      </c>
      <c r="D344" s="498">
        <v>11.5</v>
      </c>
      <c r="E344" s="528"/>
      <c r="F344" s="570" t="s">
        <v>810</v>
      </c>
      <c r="G344" s="613"/>
      <c r="H344" s="614"/>
      <c r="I344" s="814"/>
      <c r="J344" s="814"/>
      <c r="K344" s="500"/>
      <c r="L344" s="500"/>
      <c r="M344" s="500"/>
      <c r="N344" s="500"/>
      <c r="O344" s="500"/>
      <c r="P344" s="500"/>
      <c r="Q344" s="500"/>
      <c r="R344" s="500"/>
      <c r="S344" s="500"/>
      <c r="T344" s="500"/>
      <c r="U344" s="500"/>
      <c r="V344" s="500"/>
    </row>
    <row r="345" spans="1:22" s="500" customFormat="1" ht="15" customHeight="1" x14ac:dyDescent="0.2">
      <c r="A345" s="795"/>
      <c r="B345" s="496" t="s">
        <v>1156</v>
      </c>
      <c r="C345" s="497" t="s">
        <v>981</v>
      </c>
      <c r="D345" s="498">
        <v>13</v>
      </c>
      <c r="E345" s="527"/>
      <c r="F345" s="570" t="s">
        <v>810</v>
      </c>
      <c r="G345" s="613"/>
      <c r="H345" s="614"/>
      <c r="I345" s="814"/>
      <c r="J345" s="814"/>
    </row>
    <row r="346" spans="1:22" s="500" customFormat="1" ht="15" x14ac:dyDescent="0.2">
      <c r="A346" s="795"/>
      <c r="B346" s="496" t="s">
        <v>866</v>
      </c>
      <c r="C346" s="497" t="s">
        <v>982</v>
      </c>
      <c r="D346" s="498"/>
      <c r="E346" s="527"/>
      <c r="F346" s="570" t="s">
        <v>810</v>
      </c>
      <c r="G346" s="613"/>
      <c r="H346" s="614"/>
      <c r="I346" s="814"/>
      <c r="J346" s="814"/>
    </row>
    <row r="347" spans="1:22" s="500" customFormat="1" ht="15" x14ac:dyDescent="0.2">
      <c r="A347" s="795"/>
      <c r="B347" s="496" t="s">
        <v>1165</v>
      </c>
      <c r="C347" s="497"/>
      <c r="D347" s="498"/>
      <c r="E347" s="527"/>
      <c r="F347" s="570" t="s">
        <v>811</v>
      </c>
      <c r="G347" s="613"/>
      <c r="H347" s="614"/>
      <c r="I347" s="814"/>
      <c r="J347" s="814"/>
    </row>
    <row r="348" spans="1:22" s="500" customFormat="1" ht="15" x14ac:dyDescent="0.2">
      <c r="A348" s="795"/>
      <c r="B348" s="496" t="s">
        <v>1166</v>
      </c>
      <c r="C348" s="497"/>
      <c r="D348" s="498"/>
      <c r="E348" s="527"/>
      <c r="F348" s="570" t="s">
        <v>811</v>
      </c>
      <c r="G348" s="613"/>
      <c r="H348" s="614"/>
      <c r="I348" s="814"/>
      <c r="J348" s="814"/>
    </row>
    <row r="349" spans="1:22" s="500" customFormat="1" ht="15" x14ac:dyDescent="0.2">
      <c r="A349" s="795"/>
      <c r="B349" s="496" t="s">
        <v>1162</v>
      </c>
      <c r="C349" s="497"/>
      <c r="D349" s="498"/>
      <c r="E349" s="527"/>
      <c r="F349" s="570" t="s">
        <v>1114</v>
      </c>
      <c r="G349" s="613"/>
      <c r="H349" s="614"/>
      <c r="I349" s="814"/>
      <c r="J349" s="814"/>
    </row>
    <row r="350" spans="1:22" s="500" customFormat="1" ht="15" x14ac:dyDescent="0.2">
      <c r="A350" s="795"/>
      <c r="B350" s="496" t="s">
        <v>1163</v>
      </c>
      <c r="C350" s="497"/>
      <c r="D350" s="498"/>
      <c r="E350" s="527"/>
      <c r="F350" s="570" t="s">
        <v>1114</v>
      </c>
      <c r="G350" s="613"/>
      <c r="H350" s="614"/>
      <c r="I350" s="814"/>
      <c r="J350" s="814"/>
    </row>
    <row r="351" spans="1:22" s="500" customFormat="1" ht="15" x14ac:dyDescent="0.2">
      <c r="A351" s="795"/>
      <c r="B351" s="496" t="s">
        <v>1164</v>
      </c>
      <c r="C351" s="497"/>
      <c r="D351" s="498"/>
      <c r="E351" s="527"/>
      <c r="F351" s="570" t="s">
        <v>1114</v>
      </c>
      <c r="G351" s="613"/>
      <c r="H351" s="614"/>
      <c r="I351" s="814"/>
      <c r="J351" s="814"/>
    </row>
    <row r="352" spans="1:22" s="500" customFormat="1" ht="15" x14ac:dyDescent="0.2">
      <c r="A352" s="795"/>
      <c r="B352" s="496" t="s">
        <v>1159</v>
      </c>
      <c r="C352" s="497"/>
      <c r="D352" s="498"/>
      <c r="E352" s="527"/>
      <c r="F352" s="570" t="s">
        <v>810</v>
      </c>
      <c r="G352" s="613"/>
      <c r="H352" s="614"/>
      <c r="I352" s="814"/>
      <c r="J352" s="814"/>
    </row>
    <row r="353" spans="1:10" s="500" customFormat="1" ht="15" x14ac:dyDescent="0.2">
      <c r="A353" s="795"/>
      <c r="B353" s="496" t="s">
        <v>1160</v>
      </c>
      <c r="C353" s="497"/>
      <c r="D353" s="498"/>
      <c r="E353" s="527"/>
      <c r="F353" s="570" t="s">
        <v>810</v>
      </c>
      <c r="G353" s="613"/>
      <c r="H353" s="614"/>
      <c r="I353" s="814"/>
      <c r="J353" s="814"/>
    </row>
    <row r="354" spans="1:10" s="500" customFormat="1" ht="15" x14ac:dyDescent="0.2">
      <c r="A354" s="795"/>
      <c r="B354" s="496" t="s">
        <v>768</v>
      </c>
      <c r="C354" s="497" t="s">
        <v>769</v>
      </c>
      <c r="D354" s="498">
        <v>17.7</v>
      </c>
      <c r="E354" s="527">
        <v>7.0000000000000007E-2</v>
      </c>
      <c r="F354" s="570" t="s">
        <v>811</v>
      </c>
      <c r="G354" s="613"/>
      <c r="H354" s="614"/>
      <c r="I354" s="814"/>
      <c r="J354" s="814"/>
    </row>
    <row r="355" spans="1:10" s="500" customFormat="1" ht="15" x14ac:dyDescent="0.2">
      <c r="A355" s="795"/>
      <c r="B355" s="496" t="s">
        <v>1161</v>
      </c>
      <c r="C355" s="497"/>
      <c r="D355" s="498"/>
      <c r="E355" s="527"/>
      <c r="F355" s="570" t="s">
        <v>811</v>
      </c>
      <c r="G355" s="613"/>
      <c r="H355" s="614"/>
      <c r="I355" s="814"/>
      <c r="J355" s="814"/>
    </row>
    <row r="356" spans="1:10" s="500" customFormat="1" ht="30" x14ac:dyDescent="0.2">
      <c r="A356" s="795"/>
      <c r="B356" s="496" t="s">
        <v>1153</v>
      </c>
      <c r="C356" s="497" t="s">
        <v>789</v>
      </c>
      <c r="D356" s="498">
        <v>21.6</v>
      </c>
      <c r="E356" s="527">
        <v>0.12</v>
      </c>
      <c r="F356" s="570" t="s">
        <v>811</v>
      </c>
      <c r="G356" s="613"/>
      <c r="H356" s="614"/>
      <c r="I356" s="814"/>
      <c r="J356" s="814"/>
    </row>
    <row r="357" spans="1:10" s="500" customFormat="1" ht="15" x14ac:dyDescent="0.2">
      <c r="A357" s="795"/>
      <c r="B357" s="496" t="s">
        <v>923</v>
      </c>
      <c r="C357" s="497" t="s">
        <v>120</v>
      </c>
      <c r="D357" s="498">
        <v>28.5</v>
      </c>
      <c r="E357" s="527">
        <v>0.11</v>
      </c>
      <c r="F357" s="570" t="s">
        <v>760</v>
      </c>
      <c r="G357" s="613"/>
      <c r="H357" s="614"/>
      <c r="I357" s="814"/>
      <c r="J357" s="814"/>
    </row>
    <row r="358" spans="1:10" s="500" customFormat="1" ht="15" x14ac:dyDescent="0.2">
      <c r="A358" s="795"/>
      <c r="B358" s="496" t="s">
        <v>868</v>
      </c>
      <c r="C358" s="497" t="s">
        <v>885</v>
      </c>
      <c r="D358" s="498">
        <v>23</v>
      </c>
      <c r="E358" s="527">
        <v>0.09</v>
      </c>
      <c r="F358" s="570" t="s">
        <v>761</v>
      </c>
      <c r="G358" s="613"/>
      <c r="H358" s="614"/>
      <c r="I358" s="814"/>
      <c r="J358" s="814"/>
    </row>
    <row r="359" spans="1:10" s="500" customFormat="1" ht="13.5" customHeight="1" x14ac:dyDescent="0.2">
      <c r="A359" s="795"/>
      <c r="B359" s="496" t="s">
        <v>862</v>
      </c>
      <c r="C359" s="497" t="s">
        <v>887</v>
      </c>
      <c r="D359" s="498">
        <v>27</v>
      </c>
      <c r="E359" s="527">
        <v>0.15</v>
      </c>
      <c r="F359" s="570" t="s">
        <v>761</v>
      </c>
      <c r="G359" s="613"/>
      <c r="H359" s="614"/>
      <c r="I359" s="814"/>
      <c r="J359" s="814"/>
    </row>
    <row r="360" spans="1:10" s="500" customFormat="1" ht="15" x14ac:dyDescent="0.2">
      <c r="A360" s="795"/>
      <c r="B360" s="496" t="s">
        <v>697</v>
      </c>
      <c r="C360" s="497" t="s">
        <v>756</v>
      </c>
      <c r="D360" s="498">
        <v>20</v>
      </c>
      <c r="E360" s="527">
        <v>0.1</v>
      </c>
      <c r="F360" s="570" t="s">
        <v>761</v>
      </c>
      <c r="G360" s="613"/>
      <c r="H360" s="614"/>
      <c r="I360" s="814"/>
      <c r="J360" s="814"/>
    </row>
    <row r="361" spans="1:10" s="500" customFormat="1" ht="15" x14ac:dyDescent="0.2">
      <c r="A361" s="795"/>
      <c r="B361" s="496" t="s">
        <v>857</v>
      </c>
      <c r="C361" s="497" t="s">
        <v>884</v>
      </c>
      <c r="D361" s="498">
        <v>24</v>
      </c>
      <c r="E361" s="527">
        <v>7.0000000000000007E-2</v>
      </c>
      <c r="F361" s="570" t="s">
        <v>858</v>
      </c>
      <c r="G361" s="613"/>
      <c r="H361" s="614"/>
      <c r="I361" s="814"/>
      <c r="J361" s="814"/>
    </row>
    <row r="362" spans="1:10" s="500" customFormat="1" ht="30" x14ac:dyDescent="0.2">
      <c r="A362" s="795"/>
      <c r="B362" s="496" t="s">
        <v>1149</v>
      </c>
      <c r="C362" s="526" t="s">
        <v>130</v>
      </c>
      <c r="D362" s="529">
        <v>12</v>
      </c>
      <c r="E362" s="548">
        <v>0.1</v>
      </c>
      <c r="F362" s="570" t="s">
        <v>1114</v>
      </c>
      <c r="G362" s="613"/>
      <c r="H362" s="614"/>
      <c r="I362" s="814"/>
      <c r="J362" s="814"/>
    </row>
    <row r="363" spans="1:10" s="500" customFormat="1" ht="30" x14ac:dyDescent="0.2">
      <c r="A363" s="795"/>
      <c r="B363" s="496" t="s">
        <v>1150</v>
      </c>
      <c r="C363" s="526" t="s">
        <v>131</v>
      </c>
      <c r="D363" s="529">
        <v>15</v>
      </c>
      <c r="E363" s="548">
        <v>0.1</v>
      </c>
      <c r="F363" s="570" t="s">
        <v>1114</v>
      </c>
      <c r="G363" s="613"/>
      <c r="H363" s="614"/>
      <c r="I363" s="814"/>
      <c r="J363" s="814"/>
    </row>
    <row r="364" spans="1:10" s="500" customFormat="1" ht="30" x14ac:dyDescent="0.2">
      <c r="A364" s="795"/>
      <c r="B364" s="496" t="s">
        <v>1151</v>
      </c>
      <c r="C364" s="526" t="s">
        <v>132</v>
      </c>
      <c r="D364" s="529">
        <v>20</v>
      </c>
      <c r="E364" s="548">
        <v>0.1</v>
      </c>
      <c r="F364" s="570" t="s">
        <v>1114</v>
      </c>
      <c r="G364" s="613"/>
      <c r="H364" s="614"/>
      <c r="I364" s="814"/>
      <c r="J364" s="814"/>
    </row>
    <row r="365" spans="1:10" s="500" customFormat="1" ht="15" x14ac:dyDescent="0.2">
      <c r="A365" s="795"/>
      <c r="B365" s="496" t="s">
        <v>1091</v>
      </c>
      <c r="C365" s="497" t="s">
        <v>125</v>
      </c>
      <c r="D365" s="498">
        <v>12</v>
      </c>
      <c r="E365" s="527"/>
      <c r="F365" s="570" t="s">
        <v>762</v>
      </c>
      <c r="G365" s="613"/>
      <c r="H365" s="614"/>
      <c r="I365" s="814"/>
      <c r="J365" s="814"/>
    </row>
    <row r="366" spans="1:10" s="500" customFormat="1" ht="15" x14ac:dyDescent="0.2">
      <c r="A366" s="795"/>
      <c r="B366" s="496" t="s">
        <v>1126</v>
      </c>
      <c r="C366" s="531" t="s">
        <v>1154</v>
      </c>
      <c r="D366" s="532" t="s">
        <v>1155</v>
      </c>
      <c r="E366" s="549">
        <v>0.1</v>
      </c>
      <c r="F366" s="570" t="s">
        <v>762</v>
      </c>
      <c r="G366" s="613"/>
      <c r="H366" s="614"/>
      <c r="I366" s="814"/>
      <c r="J366" s="814"/>
    </row>
    <row r="367" spans="1:10" s="500" customFormat="1" ht="30" x14ac:dyDescent="0.2">
      <c r="A367" s="795"/>
      <c r="B367" s="496" t="s">
        <v>1167</v>
      </c>
      <c r="C367" s="497" t="s">
        <v>344</v>
      </c>
      <c r="D367" s="498">
        <v>28</v>
      </c>
      <c r="E367" s="527">
        <v>0.08</v>
      </c>
      <c r="F367" s="570" t="s">
        <v>763</v>
      </c>
      <c r="G367" s="613"/>
      <c r="H367" s="614"/>
      <c r="I367" s="814"/>
      <c r="J367" s="814"/>
    </row>
    <row r="368" spans="1:10" s="500" customFormat="1" thickBot="1" x14ac:dyDescent="0.25">
      <c r="A368" s="796"/>
      <c r="B368" s="505" t="s">
        <v>614</v>
      </c>
      <c r="C368" s="506" t="s">
        <v>615</v>
      </c>
      <c r="D368" s="507">
        <v>29</v>
      </c>
      <c r="E368" s="530">
        <v>0.09</v>
      </c>
      <c r="F368" s="571" t="s">
        <v>763</v>
      </c>
      <c r="G368" s="613"/>
      <c r="H368" s="614"/>
      <c r="I368" s="814"/>
      <c r="J368" s="814"/>
    </row>
    <row r="369" spans="1:10" s="500" customFormat="1" ht="15" x14ac:dyDescent="0.2">
      <c r="A369" s="533"/>
      <c r="B369" s="534"/>
      <c r="C369" s="499"/>
      <c r="D369" s="535"/>
      <c r="E369" s="535"/>
      <c r="F369" s="572"/>
      <c r="G369" s="613"/>
      <c r="H369" s="614"/>
      <c r="I369" s="814"/>
      <c r="J369" s="814"/>
    </row>
    <row r="370" spans="1:10" x14ac:dyDescent="0.2">
      <c r="A370" s="513"/>
      <c r="B370" s="418" t="s">
        <v>730</v>
      </c>
      <c r="C370" s="417"/>
      <c r="D370" s="417"/>
      <c r="E370" s="417"/>
      <c r="F370" s="573"/>
      <c r="G370" s="545"/>
      <c r="H370" s="576"/>
      <c r="I370" s="815"/>
      <c r="J370" s="815"/>
    </row>
  </sheetData>
  <mergeCells count="47">
    <mergeCell ref="A320:A368"/>
    <mergeCell ref="A306:J306"/>
    <mergeCell ref="A198:A204"/>
    <mergeCell ref="A290:A305"/>
    <mergeCell ref="A131:A145"/>
    <mergeCell ref="A146:A148"/>
    <mergeCell ref="A156:A173"/>
    <mergeCell ref="A174:A183"/>
    <mergeCell ref="A184:A189"/>
    <mergeCell ref="A149:A155"/>
    <mergeCell ref="A270:A276"/>
    <mergeCell ref="A220:A237"/>
    <mergeCell ref="A312:A317"/>
    <mergeCell ref="A318:J318"/>
    <mergeCell ref="A238:A240"/>
    <mergeCell ref="A205:A214"/>
    <mergeCell ref="A256:A259"/>
    <mergeCell ref="A268:A269"/>
    <mergeCell ref="A68:A74"/>
    <mergeCell ref="A277:A289"/>
    <mergeCell ref="A192:A197"/>
    <mergeCell ref="A260:A267"/>
    <mergeCell ref="A242:A245"/>
    <mergeCell ref="A241:J241"/>
    <mergeCell ref="A246:A255"/>
    <mergeCell ref="A85:A94"/>
    <mergeCell ref="A95:A110"/>
    <mergeCell ref="A75:A81"/>
    <mergeCell ref="A111:A130"/>
    <mergeCell ref="A190:A191"/>
    <mergeCell ref="A82:A84"/>
    <mergeCell ref="A215:A219"/>
    <mergeCell ref="A12:A14"/>
    <mergeCell ref="A18:A20"/>
    <mergeCell ref="A63:A67"/>
    <mergeCell ref="A1:J1"/>
    <mergeCell ref="A58:A62"/>
    <mergeCell ref="A2:J2"/>
    <mergeCell ref="A4:J4"/>
    <mergeCell ref="A5:A11"/>
    <mergeCell ref="A44:J44"/>
    <mergeCell ref="A15:A17"/>
    <mergeCell ref="A21:A23"/>
    <mergeCell ref="A24:A36"/>
    <mergeCell ref="A37:A43"/>
    <mergeCell ref="A45:A49"/>
    <mergeCell ref="A50:A57"/>
  </mergeCells>
  <pageMargins left="0.23622047244094491" right="0.23622047244094491" top="0.55118110236220474" bottom="0.15748031496062992" header="0" footer="0"/>
  <pageSetup paperSize="9" scale="70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7</vt:i4>
      </vt:variant>
    </vt:vector>
  </HeadingPairs>
  <TitlesOfParts>
    <vt:vector size="17" baseType="lpstr">
      <vt:lpstr>Прайс 2014</vt:lpstr>
      <vt:lpstr>Прайс 1.1.2015</vt:lpstr>
      <vt:lpstr>Примечание</vt:lpstr>
      <vt:lpstr>Разд. с раков.</vt:lpstr>
      <vt:lpstr>Январь</vt:lpstr>
      <vt:lpstr>Февраль</vt:lpstr>
      <vt:lpstr>Февраль 35-40%</vt:lpstr>
      <vt:lpstr>Март</vt:lpstr>
      <vt:lpstr>Регион</vt:lpstr>
      <vt:lpstr> Комплектация зеркал</vt:lpstr>
      <vt:lpstr>Январь!Заголовки_для_печати</vt:lpstr>
      <vt:lpstr>'Прайс 1.1.2015'!Область_печати</vt:lpstr>
      <vt:lpstr>'Прайс 2014'!Область_печати</vt:lpstr>
      <vt:lpstr>'Разд. с раков.'!Область_печати</vt:lpstr>
      <vt:lpstr>Регион!Область_печати</vt:lpstr>
      <vt:lpstr>'Февраль 35-40%'!Область_печати</vt:lpstr>
      <vt:lpstr>Январь!Область_печати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Мешкова Светлана Витальевна</cp:lastModifiedBy>
  <cp:lastPrinted>2018-04-02T13:45:26Z</cp:lastPrinted>
  <dcterms:created xsi:type="dcterms:W3CDTF">1996-10-08T23:32:33Z</dcterms:created>
  <dcterms:modified xsi:type="dcterms:W3CDTF">2018-07-03T13:14:07Z</dcterms:modified>
</cp:coreProperties>
</file>