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23256" windowHeight="11148"/>
  </bookViews>
  <sheets>
    <sheet name="Показатели ФХД" sheetId="1" r:id="rId1"/>
    <sheet name="Расшифровка расходов" sheetId="2" r:id="rId2"/>
  </sheets>
  <definedNames>
    <definedName name="_xlnm.Print_Area" localSheetId="1">'Расшифровка расходов'!$A$1:$O$53</definedName>
  </definedNames>
  <calcPr calcId="145621"/>
</workbook>
</file>

<file path=xl/calcChain.xml><?xml version="1.0" encoding="utf-8"?>
<calcChain xmlns="http://schemas.openxmlformats.org/spreadsheetml/2006/main">
  <c r="J37" i="2" l="1"/>
  <c r="I37" i="2"/>
  <c r="H37" i="2"/>
  <c r="G37" i="2"/>
  <c r="J35" i="2"/>
  <c r="I35" i="2"/>
  <c r="H35" i="2"/>
  <c r="G35" i="2"/>
  <c r="G48" i="2" l="1"/>
  <c r="G47" i="2"/>
  <c r="G46" i="2"/>
  <c r="G45" i="2"/>
  <c r="G52" i="2"/>
  <c r="J48" i="2" l="1"/>
  <c r="J47" i="2"/>
  <c r="J46" i="2"/>
  <c r="J45" i="2"/>
  <c r="J52" i="2"/>
  <c r="I48" i="2"/>
  <c r="H48" i="2"/>
  <c r="I47" i="2"/>
  <c r="H47" i="2"/>
  <c r="I46" i="2"/>
  <c r="H46" i="2"/>
  <c r="I45" i="2"/>
  <c r="H45" i="2"/>
  <c r="I52" i="2"/>
  <c r="H52" i="2"/>
  <c r="K29" i="1"/>
  <c r="K28" i="1"/>
  <c r="K26" i="1"/>
  <c r="K25" i="1"/>
  <c r="K23" i="1"/>
  <c r="K22" i="1"/>
  <c r="K52" i="2" l="1"/>
  <c r="E52" i="2"/>
  <c r="P49" i="2"/>
  <c r="P50" i="2"/>
  <c r="P38" i="2"/>
  <c r="P39" i="2"/>
  <c r="P17" i="2"/>
  <c r="P18" i="2"/>
  <c r="P52" i="2" l="1"/>
  <c r="H24" i="1" l="1"/>
  <c r="J30" i="1" l="1"/>
  <c r="I20" i="1"/>
  <c r="J20" i="1"/>
  <c r="K20" i="1"/>
  <c r="H33" i="2" l="1"/>
  <c r="H40" i="2" s="1"/>
  <c r="I33" i="2"/>
  <c r="I40" i="2" s="1"/>
  <c r="J33" i="2"/>
  <c r="J40" i="2" s="1"/>
  <c r="G33" i="2"/>
  <c r="G40" i="2" s="1"/>
  <c r="H44" i="2"/>
  <c r="H51" i="2" s="1"/>
  <c r="I44" i="2"/>
  <c r="I51" i="2" s="1"/>
  <c r="J44" i="2"/>
  <c r="J51" i="2" s="1"/>
  <c r="G44" i="2"/>
  <c r="G51" i="2" s="1"/>
  <c r="E47" i="2"/>
  <c r="K47" i="2" s="1"/>
  <c r="E45" i="2"/>
  <c r="K45" i="2" s="1"/>
  <c r="E41" i="2"/>
  <c r="K41" i="2" s="1"/>
  <c r="P41" i="2" s="1"/>
  <c r="E36" i="2"/>
  <c r="K36" i="2" s="1"/>
  <c r="E34" i="2"/>
  <c r="K34" i="2" s="1"/>
  <c r="E20" i="2"/>
  <c r="K20" i="2" s="1"/>
  <c r="P20" i="2" s="1"/>
  <c r="E15" i="2"/>
  <c r="K15" i="2" s="1"/>
  <c r="E14" i="2"/>
  <c r="K14" i="2" s="1"/>
  <c r="E13" i="2"/>
  <c r="K13" i="2" s="1"/>
  <c r="P47" i="2" l="1"/>
  <c r="P45" i="2"/>
  <c r="P36" i="2"/>
  <c r="P34" i="2"/>
  <c r="P13" i="2"/>
  <c r="P14" i="2"/>
  <c r="P15" i="2"/>
  <c r="N53" i="2"/>
  <c r="E21" i="2"/>
  <c r="O21" i="2" s="1"/>
  <c r="M21" i="2"/>
  <c r="P21" i="2" l="1"/>
  <c r="L53" i="2"/>
  <c r="E53" i="2" l="1"/>
  <c r="E42" i="2"/>
  <c r="M53" i="2"/>
  <c r="M42" i="2"/>
  <c r="K19" i="1"/>
  <c r="K18" i="1"/>
  <c r="K16" i="1"/>
  <c r="K15" i="1"/>
  <c r="K13" i="1"/>
  <c r="K12" i="1"/>
  <c r="K39" i="1"/>
  <c r="K40" i="1"/>
  <c r="K33" i="1"/>
  <c r="K21" i="1"/>
  <c r="I37" i="1"/>
  <c r="I42" i="1" s="1"/>
  <c r="O53" i="2" l="1"/>
  <c r="P53" i="2" s="1"/>
  <c r="O42" i="2"/>
  <c r="P42" i="2" s="1"/>
  <c r="H31" i="1" l="1"/>
  <c r="H37" i="1" s="1"/>
  <c r="H42" i="1" s="1"/>
  <c r="H27" i="1"/>
  <c r="H17" i="1"/>
  <c r="H14" i="1"/>
  <c r="H30" i="1" l="1"/>
  <c r="E19" i="2" s="1"/>
  <c r="E16" i="2"/>
  <c r="H20" i="1"/>
  <c r="I24" i="1"/>
  <c r="E35" i="2" l="1"/>
  <c r="K16" i="2"/>
  <c r="P16" i="2" s="1"/>
  <c r="I27" i="1"/>
  <c r="E37" i="2" s="1"/>
  <c r="J27" i="1"/>
  <c r="K27" i="1"/>
  <c r="E48" i="2" s="1"/>
  <c r="J24" i="1"/>
  <c r="K24" i="1"/>
  <c r="I17" i="1"/>
  <c r="J17" i="1"/>
  <c r="K17" i="1"/>
  <c r="I14" i="1"/>
  <c r="J14" i="1"/>
  <c r="K14" i="1"/>
  <c r="K48" i="2" l="1"/>
  <c r="P48" i="2" s="1"/>
  <c r="K30" i="1"/>
  <c r="E51" i="2" s="1"/>
  <c r="K51" i="2" s="1"/>
  <c r="P51" i="2" s="1"/>
  <c r="E46" i="2"/>
  <c r="K37" i="2"/>
  <c r="P37" i="2" s="1"/>
  <c r="I30" i="1"/>
  <c r="E40" i="2" s="1"/>
  <c r="K40" i="2" s="1"/>
  <c r="P40" i="2" s="1"/>
  <c r="K35" i="2"/>
  <c r="I31" i="1"/>
  <c r="J31" i="1"/>
  <c r="J37" i="1" s="1"/>
  <c r="J42" i="1" s="1"/>
  <c r="K46" i="2" l="1"/>
  <c r="K44" i="2" s="1"/>
  <c r="E44" i="2" s="1"/>
  <c r="P44" i="2" s="1"/>
  <c r="P46" i="2"/>
  <c r="K33" i="2"/>
  <c r="P35" i="2"/>
  <c r="K31" i="1"/>
  <c r="K37" i="1" l="1"/>
  <c r="K42" i="1" s="1"/>
  <c r="E33" i="2" l="1"/>
  <c r="P33" i="2" s="1"/>
  <c r="H12" i="2" l="1"/>
  <c r="H19" i="2" s="1"/>
  <c r="I12" i="2"/>
  <c r="I19" i="2" s="1"/>
  <c r="J12" i="2"/>
  <c r="J19" i="2" s="1"/>
  <c r="K12" i="2"/>
  <c r="G12" i="2"/>
  <c r="G19" i="2" s="1"/>
  <c r="K19" i="2" s="1"/>
  <c r="P19" i="2" s="1"/>
  <c r="E12" i="2" l="1"/>
  <c r="E30" i="2"/>
  <c r="E25" i="2" l="1"/>
  <c r="E26" i="2"/>
  <c r="E27" i="2"/>
  <c r="E24" i="2"/>
  <c r="E23" i="2" l="1"/>
  <c r="P12" i="2" l="1"/>
</calcChain>
</file>

<file path=xl/sharedStrings.xml><?xml version="1.0" encoding="utf-8"?>
<sst xmlns="http://schemas.openxmlformats.org/spreadsheetml/2006/main" count="153" uniqueCount="87">
  <si>
    <t>№</t>
  </si>
  <si>
    <t>п/п</t>
  </si>
  <si>
    <t xml:space="preserve">Единица </t>
  </si>
  <si>
    <t>Предоставление аэровокзального комплекса МВЛ</t>
  </si>
  <si>
    <t xml:space="preserve"> Обслуживание пассажиров ВВЛ</t>
  </si>
  <si>
    <t xml:space="preserve"> Обслуживание пассажиров МВЛ</t>
  </si>
  <si>
    <t>Предоставление аэровокзального комплекса ВВЛ</t>
  </si>
  <si>
    <t>Обслуживание пассажиров ВВЛ</t>
  </si>
  <si>
    <t>Обслуживание пассажиров МВЛ</t>
  </si>
  <si>
    <t>Прибыль (убыток) от продаж</t>
  </si>
  <si>
    <t>Доходы от участия в других организациях</t>
  </si>
  <si>
    <t>Проценты к получению</t>
  </si>
  <si>
    <t>Проценты к уплате</t>
  </si>
  <si>
    <t>Прочие доходы</t>
  </si>
  <si>
    <t>Прочие расходы</t>
  </si>
  <si>
    <t>Прибыль (убыток) до налогообложения</t>
  </si>
  <si>
    <t>Прочее</t>
  </si>
  <si>
    <t>Чистая прибыль (убыток)</t>
  </si>
  <si>
    <t>1.2</t>
  </si>
  <si>
    <t>1.3</t>
  </si>
  <si>
    <t>1.4</t>
  </si>
  <si>
    <t>1.5</t>
  </si>
  <si>
    <t>10.1</t>
  </si>
  <si>
    <t>2.1</t>
  </si>
  <si>
    <t>2.2</t>
  </si>
  <si>
    <t>2.3</t>
  </si>
  <si>
    <t>2.5</t>
  </si>
  <si>
    <t>2.4</t>
  </si>
  <si>
    <t>( тыс.руб.)</t>
  </si>
  <si>
    <t xml:space="preserve">                       Форма раскрытия информации об основных показателях </t>
  </si>
  <si>
    <t>II. Расшифровка расходов по финансово-хозяйственной деятельности</t>
  </si>
  <si>
    <t>Наименование хозяйств, работ и операций</t>
  </si>
  <si>
    <t>В  том числе по статьям затрат</t>
  </si>
  <si>
    <t>Расходы</t>
  </si>
  <si>
    <t>всего</t>
  </si>
  <si>
    <t xml:space="preserve">Регулируемые виды деятельности </t>
  </si>
  <si>
    <t>1. Обеспечение взлета, посадки и стоянки воздушных судов</t>
  </si>
  <si>
    <t>2. Предоставление аэровокзального комплекса</t>
  </si>
  <si>
    <t>3. Обеспечение авиационной безопасности</t>
  </si>
  <si>
    <t>4. Обслуживание пассажиров</t>
  </si>
  <si>
    <t>6. Хранение авиационного топлива</t>
  </si>
  <si>
    <t>Итого по аэропортовой деятельности:</t>
  </si>
  <si>
    <t>5. Обеспечение заправки воздушных судов авиационным  топливом</t>
  </si>
  <si>
    <t>расходы, связанные с участием в совместной деятельности</t>
  </si>
  <si>
    <t>материальные затраты</t>
  </si>
  <si>
    <t>расходы на оплату труда</t>
  </si>
  <si>
    <t>отчисления на соц.нужды</t>
  </si>
  <si>
    <t>амортизация</t>
  </si>
  <si>
    <t>прочие расходы по обычным видам деятельности</t>
  </si>
  <si>
    <t>операционные расходы, связанные с оплатой услуг, оказываемых кредитными органазациями</t>
  </si>
  <si>
    <t>проценты к уплате по кредитам и займам</t>
  </si>
  <si>
    <t>налоги и игые обязательные платежи и сборы</t>
  </si>
  <si>
    <t>прочие расходы</t>
  </si>
  <si>
    <t>2017г.</t>
  </si>
  <si>
    <t>( план)</t>
  </si>
  <si>
    <t>2017год ( план)</t>
  </si>
  <si>
    <t xml:space="preserve"> -</t>
  </si>
  <si>
    <t xml:space="preserve">      финансово-хозяйственной деятельности АО "Ростоваэроинвест"</t>
  </si>
  <si>
    <t>Налог на прибыль</t>
  </si>
  <si>
    <t>11.</t>
  </si>
  <si>
    <t>в том числе текущий налог на прибыль</t>
  </si>
  <si>
    <t>10.2</t>
  </si>
  <si>
    <t xml:space="preserve"> отложенный налог на прибыль</t>
  </si>
  <si>
    <t>(тыс. руб.)</t>
  </si>
  <si>
    <t>2026 г.
 (прогноз)</t>
  </si>
  <si>
    <t>Наименование показателей финансово-хозяйственной деятельности СЕМ в сфере услуг аэропортов</t>
  </si>
  <si>
    <t>2024 г. 
(отчёт)</t>
  </si>
  <si>
    <t>2025 г.
 (прогноз)</t>
  </si>
  <si>
    <t>I. Доходы и расходы</t>
  </si>
  <si>
    <t>2024 год (отчёт)</t>
  </si>
  <si>
    <t>2025 год (прогноз)</t>
  </si>
  <si>
    <t>2026 год (прогноз)</t>
  </si>
  <si>
    <t xml:space="preserve">      в сфере выполнения (оказания) регулируемых работ( услуг) в аэропортах</t>
  </si>
  <si>
    <t>Обеспечение взлет-посадкии, стоянки воздушных судов</t>
  </si>
  <si>
    <t>Доходы всего, в том числе по видам услуг:</t>
  </si>
  <si>
    <t>Расходы всего (включая коммерческие и управленческие расходы), в том числе по видам услуг:</t>
  </si>
  <si>
    <t>1.1</t>
  </si>
  <si>
    <t>Нерегулируемая деятельность</t>
  </si>
  <si>
    <t>Предоставление аэровокзального комплекса, в т.ч.:</t>
  </si>
  <si>
    <t>Обслуживание пассажиров, в.т.ч.:</t>
  </si>
  <si>
    <t>Обслуживание пассажиров, в т.ч.:</t>
  </si>
  <si>
    <t xml:space="preserve">Регулируемые виды деятельности, в том числе: </t>
  </si>
  <si>
    <t>Итого по аэропортовой деятельности</t>
  </si>
  <si>
    <t>Нерегулируемые виды деятельности</t>
  </si>
  <si>
    <t>Обеспечение транспортной безопасности</t>
  </si>
  <si>
    <t>3. Обеспечение транспортной безопасности</t>
  </si>
  <si>
    <t>5. Обеспечение заправки ВС авиационным  топливом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</si>
</sst>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name val="Times New Roman"/>
      <family val="1"/>
      <charset val="204"/>
    </font>
    <font>
      <b/>
      <sz val="11"/>
      <color rgb="FFFF0000"/>
      <name val="Calibri"/>
      <family val="2"/>
      <scheme val="minor"/>
    </font>
    <font>
      <b/>
      <u/>
      <sz val="12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color theme="3" tint="0.79998168889431442"/>
      <name val="Calibri"/>
      <family val="2"/>
      <scheme val="minor"/>
    </font>
    <font>
      <b/>
      <sz val="11"/>
      <color theme="3" tint="0.7999816888943144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8">
    <xf numFmtId="0" fontId="0" fillId="0" borderId="0" xfId="0"/>
    <xf numFmtId="0" fontId="0" fillId="0" borderId="0" xfId="0" applyBorder="1"/>
    <xf numFmtId="0" fontId="0" fillId="0" borderId="0" xfId="0" applyAlignment="1">
      <alignment wrapText="1"/>
    </xf>
    <xf numFmtId="3" fontId="0" fillId="0" borderId="0" xfId="0" applyNumberFormat="1" applyBorder="1"/>
    <xf numFmtId="3" fontId="0" fillId="0" borderId="0" xfId="0" applyNumberFormat="1"/>
    <xf numFmtId="0" fontId="1" fillId="0" borderId="0" xfId="0" applyFont="1"/>
    <xf numFmtId="0" fontId="2" fillId="0" borderId="0" xfId="0" applyFont="1"/>
    <xf numFmtId="0" fontId="2" fillId="0" borderId="0" xfId="0" applyFont="1" applyBorder="1"/>
    <xf numFmtId="0" fontId="2" fillId="0" borderId="6" xfId="0" applyFont="1" applyBorder="1" applyAlignment="1">
      <alignment vertical="center"/>
    </xf>
    <xf numFmtId="0" fontId="2" fillId="0" borderId="2" xfId="0" applyFont="1" applyBorder="1"/>
    <xf numFmtId="0" fontId="2" fillId="0" borderId="6" xfId="0" applyFont="1" applyBorder="1"/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/>
    <xf numFmtId="0" fontId="2" fillId="0" borderId="5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0" fontId="2" fillId="0" borderId="8" xfId="0" applyFont="1" applyBorder="1" applyAlignment="1"/>
    <xf numFmtId="0" fontId="2" fillId="0" borderId="4" xfId="0" applyFont="1" applyBorder="1" applyAlignment="1"/>
    <xf numFmtId="0" fontId="3" fillId="0" borderId="1" xfId="0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1" fillId="0" borderId="0" xfId="0" applyFont="1" applyBorder="1"/>
    <xf numFmtId="3" fontId="1" fillId="0" borderId="0" xfId="0" applyNumberFormat="1" applyFont="1" applyBorder="1"/>
    <xf numFmtId="0" fontId="3" fillId="0" borderId="1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/>
    <xf numFmtId="0" fontId="2" fillId="0" borderId="7" xfId="0" applyFont="1" applyBorder="1"/>
    <xf numFmtId="0" fontId="2" fillId="0" borderId="13" xfId="0" applyFont="1" applyBorder="1"/>
    <xf numFmtId="0" fontId="2" fillId="0" borderId="8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9" xfId="0" applyFont="1" applyBorder="1" applyAlignment="1">
      <alignment horizontal="center" wrapText="1"/>
    </xf>
    <xf numFmtId="0" fontId="3" fillId="0" borderId="15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0" fillId="0" borderId="0" xfId="0" applyAlignment="1">
      <alignment horizontal="left"/>
    </xf>
    <xf numFmtId="3" fontId="3" fillId="0" borderId="1" xfId="0" applyNumberFormat="1" applyFont="1" applyBorder="1" applyAlignment="1">
      <alignment horizontal="right"/>
    </xf>
    <xf numFmtId="3" fontId="3" fillId="0" borderId="1" xfId="0" applyNumberFormat="1" applyFont="1" applyBorder="1" applyAlignment="1"/>
    <xf numFmtId="3" fontId="2" fillId="0" borderId="1" xfId="0" applyNumberFormat="1" applyFont="1" applyBorder="1" applyAlignment="1"/>
    <xf numFmtId="3" fontId="2" fillId="0" borderId="1" xfId="0" applyNumberFormat="1" applyFont="1" applyBorder="1" applyAlignment="1">
      <alignment horizontal="right"/>
    </xf>
    <xf numFmtId="3" fontId="3" fillId="0" borderId="1" xfId="0" applyNumberFormat="1" applyFont="1" applyBorder="1" applyAlignment="1">
      <alignment horizontal="right" vertical="center"/>
    </xf>
    <xf numFmtId="0" fontId="2" fillId="0" borderId="7" xfId="0" applyFont="1" applyBorder="1" applyAlignment="1">
      <alignment vertical="center"/>
    </xf>
    <xf numFmtId="3" fontId="2" fillId="2" borderId="4" xfId="0" applyNumberFormat="1" applyFont="1" applyFill="1" applyBorder="1" applyAlignment="1">
      <alignment horizontal="right"/>
    </xf>
    <xf numFmtId="0" fontId="2" fillId="0" borderId="21" xfId="0" applyFont="1" applyBorder="1" applyAlignment="1">
      <alignment horizontal="right"/>
    </xf>
    <xf numFmtId="0" fontId="2" fillId="2" borderId="19" xfId="0" applyFont="1" applyFill="1" applyBorder="1" applyAlignment="1">
      <alignment horizontal="right"/>
    </xf>
    <xf numFmtId="0" fontId="2" fillId="2" borderId="21" xfId="0" applyFont="1" applyFill="1" applyBorder="1" applyAlignment="1">
      <alignment horizontal="right"/>
    </xf>
    <xf numFmtId="0" fontId="5" fillId="0" borderId="21" xfId="0" applyFont="1" applyBorder="1" applyAlignment="1">
      <alignment horizontal="right"/>
    </xf>
    <xf numFmtId="0" fontId="5" fillId="0" borderId="19" xfId="0" applyFont="1" applyBorder="1" applyAlignment="1">
      <alignment horizontal="right"/>
    </xf>
    <xf numFmtId="0" fontId="5" fillId="0" borderId="20" xfId="0" applyFont="1" applyBorder="1" applyAlignment="1">
      <alignment horizontal="right"/>
    </xf>
    <xf numFmtId="3" fontId="5" fillId="2" borderId="1" xfId="0" applyNumberFormat="1" applyFont="1" applyFill="1" applyBorder="1" applyAlignment="1">
      <alignment horizontal="right"/>
    </xf>
    <xf numFmtId="3" fontId="5" fillId="0" borderId="1" xfId="0" applyNumberFormat="1" applyFont="1" applyBorder="1" applyAlignment="1">
      <alignment horizontal="right"/>
    </xf>
    <xf numFmtId="3" fontId="5" fillId="2" borderId="4" xfId="0" applyNumberFormat="1" applyFont="1" applyFill="1" applyBorder="1" applyAlignment="1">
      <alignment horizontal="right"/>
    </xf>
    <xf numFmtId="3" fontId="5" fillId="0" borderId="4" xfId="0" applyNumberFormat="1" applyFont="1" applyBorder="1" applyAlignment="1">
      <alignment horizontal="right"/>
    </xf>
    <xf numFmtId="3" fontId="5" fillId="0" borderId="9" xfId="0" applyNumberFormat="1" applyFont="1" applyBorder="1" applyAlignment="1">
      <alignment horizontal="right"/>
    </xf>
    <xf numFmtId="3" fontId="2" fillId="0" borderId="14" xfId="0" applyNumberFormat="1" applyFont="1" applyBorder="1" applyAlignment="1">
      <alignment horizontal="right"/>
    </xf>
    <xf numFmtId="0" fontId="2" fillId="0" borderId="14" xfId="0" applyFont="1" applyBorder="1" applyAlignment="1">
      <alignment horizontal="right"/>
    </xf>
    <xf numFmtId="0" fontId="2" fillId="2" borderId="16" xfId="0" applyFont="1" applyFill="1" applyBorder="1" applyAlignment="1">
      <alignment horizontal="right"/>
    </xf>
    <xf numFmtId="0" fontId="2" fillId="2" borderId="14" xfId="0" applyFont="1" applyFill="1" applyBorder="1" applyAlignment="1">
      <alignment horizontal="right"/>
    </xf>
    <xf numFmtId="3" fontId="5" fillId="0" borderId="14" xfId="0" applyNumberFormat="1" applyFont="1" applyBorder="1" applyAlignment="1">
      <alignment horizontal="right"/>
    </xf>
    <xf numFmtId="3" fontId="5" fillId="0" borderId="16" xfId="0" applyNumberFormat="1" applyFont="1" applyBorder="1" applyAlignment="1">
      <alignment horizontal="right"/>
    </xf>
    <xf numFmtId="3" fontId="5" fillId="0" borderId="17" xfId="0" applyNumberFormat="1" applyFont="1" applyBorder="1" applyAlignment="1">
      <alignment horizontal="right"/>
    </xf>
    <xf numFmtId="0" fontId="2" fillId="3" borderId="21" xfId="0" applyFont="1" applyFill="1" applyBorder="1" applyAlignment="1">
      <alignment horizontal="right"/>
    </xf>
    <xf numFmtId="0" fontId="2" fillId="3" borderId="19" xfId="0" applyFont="1" applyFill="1" applyBorder="1" applyAlignment="1">
      <alignment horizontal="right"/>
    </xf>
    <xf numFmtId="0" fontId="5" fillId="3" borderId="21" xfId="0" applyFont="1" applyFill="1" applyBorder="1" applyAlignment="1">
      <alignment horizontal="right"/>
    </xf>
    <xf numFmtId="0" fontId="5" fillId="3" borderId="19" xfId="0" applyFont="1" applyFill="1" applyBorder="1" applyAlignment="1">
      <alignment horizontal="right"/>
    </xf>
    <xf numFmtId="0" fontId="5" fillId="3" borderId="20" xfId="0" applyFont="1" applyFill="1" applyBorder="1" applyAlignment="1">
      <alignment horizontal="right"/>
    </xf>
    <xf numFmtId="0" fontId="2" fillId="0" borderId="8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6" fillId="0" borderId="0" xfId="0" applyFont="1" applyBorder="1"/>
    <xf numFmtId="3" fontId="6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8" fillId="0" borderId="0" xfId="0" applyFont="1" applyBorder="1"/>
    <xf numFmtId="3" fontId="9" fillId="0" borderId="0" xfId="0" applyNumberFormat="1" applyFont="1" applyBorder="1"/>
    <xf numFmtId="0" fontId="9" fillId="0" borderId="0" xfId="0" applyFont="1" applyBorder="1"/>
    <xf numFmtId="0" fontId="9" fillId="0" borderId="0" xfId="0" applyFont="1"/>
    <xf numFmtId="0" fontId="6" fillId="3" borderId="1" xfId="0" applyFont="1" applyFill="1" applyBorder="1"/>
    <xf numFmtId="0" fontId="6" fillId="3" borderId="1" xfId="0" applyFont="1" applyFill="1" applyBorder="1" applyAlignment="1"/>
    <xf numFmtId="0" fontId="6" fillId="3" borderId="4" xfId="0" applyFont="1" applyFill="1" applyBorder="1" applyAlignment="1"/>
    <xf numFmtId="0" fontId="6" fillId="3" borderId="9" xfId="0" applyFont="1" applyFill="1" applyBorder="1" applyAlignment="1"/>
    <xf numFmtId="0" fontId="6" fillId="0" borderId="1" xfId="0" applyFont="1" applyBorder="1" applyAlignment="1">
      <alignment horizontal="right"/>
    </xf>
    <xf numFmtId="0" fontId="6" fillId="0" borderId="4" xfId="0" applyFont="1" applyBorder="1" applyAlignment="1">
      <alignment horizontal="right"/>
    </xf>
    <xf numFmtId="0" fontId="6" fillId="0" borderId="9" xfId="0" applyFont="1" applyBorder="1" applyAlignment="1">
      <alignment horizontal="right"/>
    </xf>
    <xf numFmtId="3" fontId="6" fillId="0" borderId="7" xfId="0" applyNumberFormat="1" applyFont="1" applyBorder="1" applyAlignment="1">
      <alignment horizontal="right"/>
    </xf>
    <xf numFmtId="0" fontId="6" fillId="0" borderId="7" xfId="0" applyFont="1" applyBorder="1" applyAlignment="1">
      <alignment horizontal="right"/>
    </xf>
    <xf numFmtId="0" fontId="6" fillId="0" borderId="0" xfId="0" applyFont="1" applyBorder="1" applyAlignment="1">
      <alignment horizontal="right"/>
    </xf>
    <xf numFmtId="0" fontId="6" fillId="0" borderId="12" xfId="0" applyFont="1" applyBorder="1" applyAlignment="1">
      <alignment horizontal="right"/>
    </xf>
    <xf numFmtId="3" fontId="6" fillId="2" borderId="4" xfId="0" applyNumberFormat="1" applyFont="1" applyFill="1" applyBorder="1" applyAlignment="1">
      <alignment horizontal="right"/>
    </xf>
    <xf numFmtId="3" fontId="6" fillId="2" borderId="1" xfId="0" applyNumberFormat="1" applyFont="1" applyFill="1" applyBorder="1" applyAlignment="1">
      <alignment horizontal="right"/>
    </xf>
    <xf numFmtId="0" fontId="10" fillId="2" borderId="1" xfId="0" applyFont="1" applyFill="1" applyBorder="1" applyAlignment="1">
      <alignment horizontal="right"/>
    </xf>
    <xf numFmtId="0" fontId="2" fillId="0" borderId="22" xfId="0" applyFont="1" applyBorder="1"/>
    <xf numFmtId="0" fontId="2" fillId="0" borderId="12" xfId="0" applyFont="1" applyBorder="1"/>
    <xf numFmtId="0" fontId="2" fillId="0" borderId="23" xfId="0" applyFont="1" applyBorder="1"/>
    <xf numFmtId="0" fontId="2" fillId="0" borderId="8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3" fontId="3" fillId="0" borderId="5" xfId="0" applyNumberFormat="1" applyFont="1" applyBorder="1" applyAlignment="1">
      <alignment horizontal="right"/>
    </xf>
    <xf numFmtId="3" fontId="5" fillId="0" borderId="5" xfId="0" applyNumberFormat="1" applyFont="1" applyBorder="1" applyAlignment="1"/>
    <xf numFmtId="49" fontId="3" fillId="0" borderId="1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3" fontId="5" fillId="0" borderId="1" xfId="0" applyNumberFormat="1" applyFont="1" applyBorder="1" applyAlignment="1"/>
    <xf numFmtId="3" fontId="11" fillId="0" borderId="1" xfId="0" applyNumberFormat="1" applyFont="1" applyBorder="1" applyAlignment="1"/>
    <xf numFmtId="3" fontId="11" fillId="0" borderId="1" xfId="0" applyNumberFormat="1" applyFont="1" applyBorder="1" applyAlignment="1">
      <alignment horizontal="right" vertical="center"/>
    </xf>
    <xf numFmtId="3" fontId="11" fillId="0" borderId="5" xfId="0" applyNumberFormat="1" applyFont="1" applyBorder="1" applyAlignment="1">
      <alignment horizontal="right"/>
    </xf>
    <xf numFmtId="3" fontId="11" fillId="0" borderId="1" xfId="0" applyNumberFormat="1" applyFont="1" applyBorder="1" applyAlignment="1">
      <alignment horizontal="right"/>
    </xf>
    <xf numFmtId="3" fontId="5" fillId="2" borderId="12" xfId="0" applyNumberFormat="1" applyFont="1" applyFill="1" applyBorder="1" applyAlignment="1">
      <alignment horizontal="right"/>
    </xf>
    <xf numFmtId="3" fontId="5" fillId="2" borderId="7" xfId="0" applyNumberFormat="1" applyFont="1" applyFill="1" applyBorder="1" applyAlignment="1">
      <alignment horizontal="right"/>
    </xf>
    <xf numFmtId="3" fontId="7" fillId="0" borderId="7" xfId="0" applyNumberFormat="1" applyFont="1" applyBorder="1" applyAlignment="1">
      <alignment horizontal="right"/>
    </xf>
    <xf numFmtId="3" fontId="7" fillId="2" borderId="0" xfId="0" applyNumberFormat="1" applyFont="1" applyFill="1" applyBorder="1" applyAlignment="1">
      <alignment horizontal="right"/>
    </xf>
    <xf numFmtId="3" fontId="7" fillId="2" borderId="7" xfId="0" applyNumberFormat="1" applyFont="1" applyFill="1" applyBorder="1" applyAlignment="1">
      <alignment horizontal="right"/>
    </xf>
    <xf numFmtId="3" fontId="11" fillId="2" borderId="4" xfId="0" applyNumberFormat="1" applyFont="1" applyFill="1" applyBorder="1" applyAlignment="1">
      <alignment horizontal="right"/>
    </xf>
    <xf numFmtId="0" fontId="12" fillId="0" borderId="0" xfId="0" applyFont="1"/>
    <xf numFmtId="3" fontId="11" fillId="2" borderId="1" xfId="0" applyNumberFormat="1" applyFont="1" applyFill="1" applyBorder="1" applyAlignment="1">
      <alignment horizontal="right"/>
    </xf>
    <xf numFmtId="0" fontId="7" fillId="0" borderId="1" xfId="0" applyFont="1" applyBorder="1" applyAlignment="1">
      <alignment horizontal="right"/>
    </xf>
    <xf numFmtId="3" fontId="11" fillId="0" borderId="4" xfId="0" applyNumberFormat="1" applyFont="1" applyBorder="1" applyAlignment="1">
      <alignment horizontal="right"/>
    </xf>
    <xf numFmtId="0" fontId="7" fillId="0" borderId="4" xfId="0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3" fontId="11" fillId="2" borderId="0" xfId="0" applyNumberFormat="1" applyFont="1" applyFill="1" applyBorder="1" applyAlignment="1">
      <alignment horizontal="right"/>
    </xf>
    <xf numFmtId="3" fontId="11" fillId="2" borderId="7" xfId="0" applyNumberFormat="1" applyFont="1" applyFill="1" applyBorder="1" applyAlignment="1">
      <alignment horizontal="right"/>
    </xf>
    <xf numFmtId="3" fontId="11" fillId="2" borderId="3" xfId="0" applyNumberFormat="1" applyFont="1" applyFill="1" applyBorder="1" applyAlignment="1">
      <alignment horizontal="right"/>
    </xf>
    <xf numFmtId="0" fontId="7" fillId="2" borderId="7" xfId="0" applyFont="1" applyFill="1" applyBorder="1" applyAlignment="1">
      <alignment horizontal="right"/>
    </xf>
    <xf numFmtId="3" fontId="7" fillId="2" borderId="12" xfId="0" applyNumberFormat="1" applyFont="1" applyFill="1" applyBorder="1" applyAlignment="1">
      <alignment horizontal="right"/>
    </xf>
    <xf numFmtId="164" fontId="7" fillId="0" borderId="14" xfId="0" applyNumberFormat="1" applyFont="1" applyBorder="1" applyAlignment="1">
      <alignment horizontal="right"/>
    </xf>
    <xf numFmtId="164" fontId="7" fillId="2" borderId="16" xfId="0" applyNumberFormat="1" applyFont="1" applyFill="1" applyBorder="1" applyAlignment="1">
      <alignment horizontal="right"/>
    </xf>
    <xf numFmtId="164" fontId="7" fillId="2" borderId="14" xfId="0" applyNumberFormat="1" applyFont="1" applyFill="1" applyBorder="1" applyAlignment="1">
      <alignment horizontal="right"/>
    </xf>
    <xf numFmtId="3" fontId="11" fillId="0" borderId="16" xfId="0" applyNumberFormat="1" applyFont="1" applyBorder="1" applyAlignment="1">
      <alignment horizontal="right"/>
    </xf>
    <xf numFmtId="3" fontId="11" fillId="0" borderId="17" xfId="0" applyNumberFormat="1" applyFont="1" applyBorder="1" applyAlignment="1">
      <alignment horizontal="right"/>
    </xf>
    <xf numFmtId="3" fontId="11" fillId="0" borderId="14" xfId="0" applyNumberFormat="1" applyFont="1" applyBorder="1" applyAlignment="1">
      <alignment horizontal="right"/>
    </xf>
    <xf numFmtId="0" fontId="5" fillId="0" borderId="8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11" fillId="0" borderId="8" xfId="0" applyFont="1" applyBorder="1" applyAlignment="1">
      <alignment horizontal="left"/>
    </xf>
    <xf numFmtId="0" fontId="11" fillId="0" borderId="4" xfId="0" applyFont="1" applyBorder="1" applyAlignment="1">
      <alignment horizontal="left"/>
    </xf>
    <xf numFmtId="0" fontId="11" fillId="0" borderId="9" xfId="0" applyFont="1" applyBorder="1" applyAlignment="1">
      <alignment horizontal="left"/>
    </xf>
    <xf numFmtId="0" fontId="11" fillId="0" borderId="9" xfId="0" applyFont="1" applyBorder="1" applyAlignment="1">
      <alignment horizontal="center" wrapText="1"/>
    </xf>
    <xf numFmtId="0" fontId="11" fillId="0" borderId="15" xfId="0" applyFont="1" applyBorder="1" applyAlignment="1">
      <alignment horizontal="left"/>
    </xf>
    <xf numFmtId="0" fontId="11" fillId="0" borderId="16" xfId="0" applyFont="1" applyBorder="1" applyAlignment="1">
      <alignment horizontal="left"/>
    </xf>
    <xf numFmtId="0" fontId="11" fillId="0" borderId="17" xfId="0" applyFont="1" applyBorder="1" applyAlignment="1">
      <alignment horizontal="left"/>
    </xf>
    <xf numFmtId="3" fontId="11" fillId="0" borderId="9" xfId="0" applyNumberFormat="1" applyFont="1" applyBorder="1" applyAlignment="1">
      <alignment horizontal="right"/>
    </xf>
    <xf numFmtId="0" fontId="14" fillId="0" borderId="0" xfId="0" applyFont="1"/>
    <xf numFmtId="3" fontId="3" fillId="0" borderId="14" xfId="0" applyNumberFormat="1" applyFont="1" applyBorder="1" applyAlignment="1">
      <alignment horizontal="right"/>
    </xf>
    <xf numFmtId="0" fontId="3" fillId="0" borderId="14" xfId="0" applyFont="1" applyBorder="1" applyAlignment="1">
      <alignment horizontal="right"/>
    </xf>
    <xf numFmtId="0" fontId="3" fillId="2" borderId="16" xfId="0" applyFont="1" applyFill="1" applyBorder="1" applyAlignment="1">
      <alignment horizontal="right"/>
    </xf>
    <xf numFmtId="0" fontId="3" fillId="2" borderId="14" xfId="0" applyFont="1" applyFill="1" applyBorder="1" applyAlignment="1">
      <alignment horizontal="right"/>
    </xf>
    <xf numFmtId="0" fontId="0" fillId="0" borderId="0" xfId="0" applyAlignment="1"/>
    <xf numFmtId="0" fontId="15" fillId="0" borderId="0" xfId="0" applyFont="1"/>
    <xf numFmtId="164" fontId="15" fillId="0" borderId="0" xfId="0" applyNumberFormat="1" applyFont="1"/>
    <xf numFmtId="164" fontId="15" fillId="0" borderId="0" xfId="0" applyNumberFormat="1" applyFont="1" applyAlignment="1"/>
    <xf numFmtId="164" fontId="16" fillId="0" borderId="0" xfId="0" applyNumberFormat="1" applyFont="1"/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indent="3"/>
    </xf>
    <xf numFmtId="0" fontId="2" fillId="0" borderId="4" xfId="0" applyFont="1" applyBorder="1" applyAlignment="1">
      <alignment horizontal="left" indent="3"/>
    </xf>
    <xf numFmtId="0" fontId="2" fillId="0" borderId="9" xfId="0" applyFont="1" applyBorder="1" applyAlignment="1">
      <alignment horizontal="left" indent="3"/>
    </xf>
    <xf numFmtId="0" fontId="3" fillId="0" borderId="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3" fillId="0" borderId="13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23" xfId="0" applyFont="1" applyBorder="1" applyAlignment="1">
      <alignment horizontal="left"/>
    </xf>
    <xf numFmtId="0" fontId="4" fillId="3" borderId="18" xfId="0" applyFont="1" applyFill="1" applyBorder="1" applyAlignment="1">
      <alignment horizontal="left"/>
    </xf>
    <xf numFmtId="0" fontId="4" fillId="3" borderId="19" xfId="0" applyFont="1" applyFill="1" applyBorder="1" applyAlignment="1">
      <alignment horizontal="left"/>
    </xf>
    <xf numFmtId="0" fontId="4" fillId="3" borderId="20" xfId="0" applyFont="1" applyFill="1" applyBorder="1" applyAlignment="1">
      <alignment horizontal="left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7" xfId="0" applyFont="1" applyBorder="1" applyAlignment="1">
      <alignment horizontal="center" vertical="center" textRotation="90" wrapText="1"/>
    </xf>
    <xf numFmtId="0" fontId="2" fillId="0" borderId="5" xfId="0" applyFont="1" applyBorder="1" applyAlignment="1">
      <alignment horizontal="center" vertical="center" textRotation="90" wrapText="1"/>
    </xf>
    <xf numFmtId="0" fontId="13" fillId="3" borderId="8" xfId="0" applyFont="1" applyFill="1" applyBorder="1" applyAlignment="1">
      <alignment horizontal="left"/>
    </xf>
    <xf numFmtId="0" fontId="13" fillId="3" borderId="4" xfId="0" applyFont="1" applyFill="1" applyBorder="1" applyAlignment="1">
      <alignment horizontal="left"/>
    </xf>
    <xf numFmtId="0" fontId="13" fillId="3" borderId="9" xfId="0" applyFont="1" applyFill="1" applyBorder="1" applyAlignment="1">
      <alignment horizontal="left"/>
    </xf>
    <xf numFmtId="0" fontId="2" fillId="0" borderId="8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11" fillId="0" borderId="8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2" fillId="0" borderId="8" xfId="0" applyFont="1" applyBorder="1" applyAlignment="1">
      <alignment horizontal="left" wrapText="1"/>
    </xf>
    <xf numFmtId="0" fontId="2" fillId="0" borderId="4" xfId="0" applyFont="1" applyBorder="1" applyAlignment="1">
      <alignment horizontal="left" wrapText="1"/>
    </xf>
    <xf numFmtId="0" fontId="2" fillId="0" borderId="9" xfId="0" applyFont="1" applyBorder="1" applyAlignment="1">
      <alignment horizontal="left" wrapText="1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/>
    </xf>
    <xf numFmtId="0" fontId="4" fillId="0" borderId="20" xfId="0" applyFont="1" applyBorder="1" applyAlignment="1">
      <alignment horizontal="left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2" fillId="0" borderId="6" xfId="0" applyFont="1" applyBorder="1" applyAlignment="1">
      <alignment horizontal="center" vertical="center" textRotation="90"/>
    </xf>
    <xf numFmtId="0" fontId="2" fillId="0" borderId="7" xfId="0" applyFont="1" applyBorder="1" applyAlignment="1">
      <alignment horizontal="center" vertical="center" textRotation="90"/>
    </xf>
    <xf numFmtId="0" fontId="2" fillId="0" borderId="5" xfId="0" applyFont="1" applyBorder="1" applyAlignment="1">
      <alignment horizontal="center" vertical="center" textRotation="9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101"/>
  <sheetViews>
    <sheetView tabSelected="1" workbookViewId="0">
      <selection activeCell="H11" sqref="H11"/>
    </sheetView>
  </sheetViews>
  <sheetFormatPr defaultRowHeight="14.4" x14ac:dyDescent="0.3"/>
  <cols>
    <col min="1" max="1" width="2.33203125" customWidth="1"/>
    <col min="2" max="2" width="6.6640625" customWidth="1"/>
    <col min="6" max="6" width="35" customWidth="1"/>
    <col min="7" max="7" width="12.33203125" customWidth="1"/>
    <col min="8" max="8" width="12.33203125" style="88" customWidth="1"/>
    <col min="9" max="9" width="10.88671875" customWidth="1"/>
    <col min="10" max="10" width="11.33203125" hidden="1" customWidth="1"/>
    <col min="11" max="11" width="10.6640625" customWidth="1"/>
  </cols>
  <sheetData>
    <row r="2" spans="1:15" ht="15.6" x14ac:dyDescent="0.3">
      <c r="A2" s="5"/>
      <c r="B2" s="167" t="s">
        <v>29</v>
      </c>
      <c r="C2" s="167"/>
      <c r="D2" s="167"/>
      <c r="E2" s="167"/>
      <c r="F2" s="167"/>
      <c r="G2" s="167"/>
      <c r="H2" s="167"/>
      <c r="I2" s="167"/>
      <c r="J2" s="167"/>
      <c r="K2" s="167"/>
    </row>
    <row r="3" spans="1:15" ht="15.6" x14ac:dyDescent="0.3">
      <c r="A3" s="5"/>
      <c r="B3" s="167" t="s">
        <v>57</v>
      </c>
      <c r="C3" s="167"/>
      <c r="D3" s="167"/>
      <c r="E3" s="167"/>
      <c r="F3" s="167"/>
      <c r="G3" s="167"/>
      <c r="H3" s="167"/>
      <c r="I3" s="167"/>
      <c r="J3" s="167"/>
      <c r="K3" s="167"/>
    </row>
    <row r="4" spans="1:15" ht="15.6" x14ac:dyDescent="0.3">
      <c r="A4" s="5"/>
      <c r="B4" s="168" t="s">
        <v>72</v>
      </c>
      <c r="C4" s="168"/>
      <c r="D4" s="168"/>
      <c r="E4" s="168"/>
      <c r="F4" s="168"/>
      <c r="G4" s="168"/>
      <c r="H4" s="168"/>
      <c r="I4" s="168"/>
      <c r="J4" s="168"/>
      <c r="K4" s="168"/>
    </row>
    <row r="5" spans="1:15" ht="15.6" x14ac:dyDescent="0.3">
      <c r="A5" s="5"/>
      <c r="B5" s="7"/>
      <c r="C5" s="7"/>
      <c r="D5" s="7"/>
      <c r="E5" s="7"/>
      <c r="F5" s="7"/>
      <c r="G5" s="7"/>
      <c r="H5" s="82"/>
      <c r="I5" s="7"/>
      <c r="J5" s="7"/>
    </row>
    <row r="6" spans="1:15" ht="15.6" x14ac:dyDescent="0.3">
      <c r="A6" s="5"/>
      <c r="B6" s="168" t="s">
        <v>68</v>
      </c>
      <c r="C6" s="168"/>
      <c r="D6" s="168"/>
      <c r="E6" s="168"/>
      <c r="F6" s="168"/>
      <c r="G6" s="168"/>
      <c r="H6" s="168"/>
      <c r="I6" s="168"/>
      <c r="J6" s="168"/>
      <c r="K6" s="168"/>
    </row>
    <row r="7" spans="1:15" ht="8.25" customHeight="1" x14ac:dyDescent="0.3">
      <c r="A7" s="5"/>
      <c r="B7" s="7"/>
      <c r="C7" s="7"/>
      <c r="D7" s="7"/>
      <c r="E7" s="7"/>
      <c r="F7" s="7"/>
      <c r="G7" s="7"/>
      <c r="H7" s="82"/>
      <c r="I7" s="7"/>
      <c r="J7" s="7"/>
    </row>
    <row r="8" spans="1:15" ht="14.25" customHeight="1" x14ac:dyDescent="0.3">
      <c r="A8" s="5"/>
      <c r="B8" s="8"/>
      <c r="C8" s="181" t="s">
        <v>65</v>
      </c>
      <c r="D8" s="182"/>
      <c r="E8" s="182"/>
      <c r="F8" s="183"/>
      <c r="G8" s="10"/>
      <c r="H8" s="178" t="s">
        <v>66</v>
      </c>
      <c r="I8" s="172" t="s">
        <v>67</v>
      </c>
      <c r="J8" s="10"/>
      <c r="K8" s="172" t="s">
        <v>64</v>
      </c>
      <c r="O8" s="48"/>
    </row>
    <row r="9" spans="1:15" ht="15.6" x14ac:dyDescent="0.3">
      <c r="A9" s="5"/>
      <c r="B9" s="11" t="s">
        <v>0</v>
      </c>
      <c r="C9" s="184"/>
      <c r="D9" s="185"/>
      <c r="E9" s="185"/>
      <c r="F9" s="186"/>
      <c r="G9" s="12" t="s">
        <v>2</v>
      </c>
      <c r="H9" s="179"/>
      <c r="I9" s="173"/>
      <c r="J9" s="12" t="s">
        <v>53</v>
      </c>
      <c r="K9" s="173"/>
    </row>
    <row r="10" spans="1:15" ht="14.25" customHeight="1" x14ac:dyDescent="0.3">
      <c r="A10" s="5"/>
      <c r="B10" s="13" t="s">
        <v>1</v>
      </c>
      <c r="C10" s="187"/>
      <c r="D10" s="188"/>
      <c r="E10" s="188"/>
      <c r="F10" s="189"/>
      <c r="G10" s="15"/>
      <c r="H10" s="180"/>
      <c r="I10" s="174"/>
      <c r="J10" s="15" t="s">
        <v>54</v>
      </c>
      <c r="K10" s="174"/>
    </row>
    <row r="11" spans="1:15" ht="18" customHeight="1" x14ac:dyDescent="0.3">
      <c r="A11" s="5"/>
      <c r="B11" s="116">
        <v>1</v>
      </c>
      <c r="C11" s="175" t="s">
        <v>74</v>
      </c>
      <c r="D11" s="176"/>
      <c r="E11" s="176"/>
      <c r="F11" s="177"/>
      <c r="G11" s="30" t="s">
        <v>28</v>
      </c>
      <c r="H11" s="119">
        <v>786344</v>
      </c>
      <c r="I11" s="50">
        <v>665005.84799514536</v>
      </c>
      <c r="J11" s="50"/>
      <c r="K11" s="50">
        <v>5270355.2643917203</v>
      </c>
    </row>
    <row r="12" spans="1:15" ht="15.6" x14ac:dyDescent="0.3">
      <c r="A12" s="5"/>
      <c r="B12" s="17" t="s">
        <v>76</v>
      </c>
      <c r="C12" s="18" t="s">
        <v>73</v>
      </c>
      <c r="D12" s="19"/>
      <c r="E12" s="19"/>
      <c r="F12" s="19"/>
      <c r="G12" s="24" t="s">
        <v>28</v>
      </c>
      <c r="H12" s="118">
        <v>260355.39999999997</v>
      </c>
      <c r="I12" s="51">
        <v>172822.7</v>
      </c>
      <c r="J12" s="51"/>
      <c r="K12" s="51">
        <f>I12*4.965</f>
        <v>858064.70550000004</v>
      </c>
    </row>
    <row r="13" spans="1:15" ht="15.6" x14ac:dyDescent="0.3">
      <c r="A13" s="5"/>
      <c r="B13" s="16" t="s">
        <v>18</v>
      </c>
      <c r="C13" s="169" t="s">
        <v>84</v>
      </c>
      <c r="D13" s="170"/>
      <c r="E13" s="170"/>
      <c r="F13" s="171"/>
      <c r="G13" s="24" t="s">
        <v>28</v>
      </c>
      <c r="H13" s="118">
        <v>214259.8</v>
      </c>
      <c r="I13" s="51">
        <v>205141</v>
      </c>
      <c r="J13" s="51"/>
      <c r="K13" s="51">
        <f>I13*4.965</f>
        <v>1018525.0649999999</v>
      </c>
    </row>
    <row r="14" spans="1:15" ht="15.6" x14ac:dyDescent="0.3">
      <c r="A14" s="5"/>
      <c r="B14" s="17" t="s">
        <v>19</v>
      </c>
      <c r="C14" s="169" t="s">
        <v>78</v>
      </c>
      <c r="D14" s="170"/>
      <c r="E14" s="170"/>
      <c r="F14" s="171"/>
      <c r="G14" s="24" t="s">
        <v>28</v>
      </c>
      <c r="H14" s="118">
        <f t="shared" ref="H14" si="0">SUM(H15:H16)</f>
        <v>51279.899999999994</v>
      </c>
      <c r="I14" s="51">
        <f t="shared" ref="I14:K14" si="1">SUM(I15:I16)</f>
        <v>46917</v>
      </c>
      <c r="J14" s="51">
        <f t="shared" si="1"/>
        <v>0</v>
      </c>
      <c r="K14" s="51">
        <f t="shared" si="1"/>
        <v>1335280.1266375193</v>
      </c>
    </row>
    <row r="15" spans="1:15" ht="15.6" x14ac:dyDescent="0.3">
      <c r="A15" s="5"/>
      <c r="B15" s="16"/>
      <c r="C15" s="190" t="s">
        <v>6</v>
      </c>
      <c r="D15" s="191"/>
      <c r="E15" s="191"/>
      <c r="F15" s="192"/>
      <c r="G15" s="24" t="s">
        <v>28</v>
      </c>
      <c r="H15" s="118">
        <v>51167.399999999994</v>
      </c>
      <c r="I15" s="51">
        <v>46917</v>
      </c>
      <c r="J15" s="51"/>
      <c r="K15" s="51">
        <f>2591.51892603109*405</f>
        <v>1049565.1650425915</v>
      </c>
    </row>
    <row r="16" spans="1:15" ht="15.6" x14ac:dyDescent="0.3">
      <c r="A16" s="5"/>
      <c r="B16" s="16"/>
      <c r="C16" s="190" t="s">
        <v>3</v>
      </c>
      <c r="D16" s="191"/>
      <c r="E16" s="191"/>
      <c r="F16" s="192"/>
      <c r="G16" s="24" t="s">
        <v>28</v>
      </c>
      <c r="H16" s="118">
        <v>112.5</v>
      </c>
      <c r="I16" s="51">
        <v>0</v>
      </c>
      <c r="J16" s="51"/>
      <c r="K16" s="51">
        <f>647.879731507773*441</f>
        <v>285714.96159492794</v>
      </c>
    </row>
    <row r="17" spans="1:15" ht="15.6" x14ac:dyDescent="0.3">
      <c r="A17" s="5"/>
      <c r="B17" s="17" t="s">
        <v>20</v>
      </c>
      <c r="C17" s="169" t="s">
        <v>79</v>
      </c>
      <c r="D17" s="170"/>
      <c r="E17" s="170"/>
      <c r="F17" s="170"/>
      <c r="G17" s="24" t="s">
        <v>28</v>
      </c>
      <c r="H17" s="118">
        <f t="shared" ref="H17" si="2">SUM(H18:H19)</f>
        <v>1140.6999999999998</v>
      </c>
      <c r="I17" s="51">
        <f t="shared" ref="I17:K17" si="3">SUM(I18:I19)</f>
        <v>751.95727242009036</v>
      </c>
      <c r="J17" s="51">
        <f t="shared" si="3"/>
        <v>0</v>
      </c>
      <c r="K17" s="51">
        <f t="shared" si="3"/>
        <v>886947.35243414086</v>
      </c>
    </row>
    <row r="18" spans="1:15" ht="15.6" x14ac:dyDescent="0.3">
      <c r="A18" s="5"/>
      <c r="B18" s="16"/>
      <c r="C18" s="190" t="s">
        <v>4</v>
      </c>
      <c r="D18" s="191"/>
      <c r="E18" s="191"/>
      <c r="F18" s="192"/>
      <c r="G18" s="24" t="s">
        <v>28</v>
      </c>
      <c r="H18" s="118">
        <v>1138.6999999999998</v>
      </c>
      <c r="I18" s="51">
        <v>751.95727242009036</v>
      </c>
      <c r="J18" s="51"/>
      <c r="K18" s="51">
        <f>2591.51892603109/2*433</f>
        <v>561063.84748573101</v>
      </c>
    </row>
    <row r="19" spans="1:15" ht="15.6" x14ac:dyDescent="0.3">
      <c r="A19" s="5"/>
      <c r="B19" s="16"/>
      <c r="C19" s="190" t="s">
        <v>5</v>
      </c>
      <c r="D19" s="191"/>
      <c r="E19" s="191"/>
      <c r="F19" s="192"/>
      <c r="G19" s="24" t="s">
        <v>28</v>
      </c>
      <c r="H19" s="118">
        <v>2</v>
      </c>
      <c r="I19" s="51">
        <v>0</v>
      </c>
      <c r="J19" s="51"/>
      <c r="K19" s="51">
        <f>647.879731507773/2*1006</f>
        <v>325883.50494840986</v>
      </c>
    </row>
    <row r="20" spans="1:15" ht="15.6" x14ac:dyDescent="0.3">
      <c r="A20" s="5"/>
      <c r="B20" s="17" t="s">
        <v>21</v>
      </c>
      <c r="C20" s="106" t="s">
        <v>77</v>
      </c>
      <c r="D20" s="7"/>
      <c r="E20" s="7"/>
      <c r="F20" s="7"/>
      <c r="G20" s="24" t="s">
        <v>28</v>
      </c>
      <c r="H20" s="115">
        <f>H11-H12-H13-H14-H17</f>
        <v>259308.2000000001</v>
      </c>
      <c r="I20" s="115">
        <f t="shared" ref="I20:K20" si="4">I11-I12-I13-I14-I17</f>
        <v>239373.19072272527</v>
      </c>
      <c r="J20" s="115">
        <f t="shared" si="4"/>
        <v>0</v>
      </c>
      <c r="K20" s="115">
        <f t="shared" si="4"/>
        <v>1171538.01482006</v>
      </c>
    </row>
    <row r="21" spans="1:15" ht="34.5" customHeight="1" x14ac:dyDescent="0.3">
      <c r="A21" s="5"/>
      <c r="B21" s="20">
        <v>2</v>
      </c>
      <c r="C21" s="193" t="s">
        <v>75</v>
      </c>
      <c r="D21" s="194"/>
      <c r="E21" s="194"/>
      <c r="F21" s="195"/>
      <c r="G21" s="20" t="s">
        <v>28</v>
      </c>
      <c r="H21" s="120">
        <v>1804823</v>
      </c>
      <c r="I21" s="53">
        <v>1937610.5039123702</v>
      </c>
      <c r="J21" s="53"/>
      <c r="K21" s="53">
        <f>2376.25202929935*1000</f>
        <v>2376252.02929935</v>
      </c>
      <c r="O21" s="4"/>
    </row>
    <row r="22" spans="1:15" ht="15.6" x14ac:dyDescent="0.3">
      <c r="A22" s="5"/>
      <c r="B22" s="21" t="s">
        <v>23</v>
      </c>
      <c r="C22" s="169" t="s">
        <v>73</v>
      </c>
      <c r="D22" s="170"/>
      <c r="E22" s="170"/>
      <c r="F22" s="171"/>
      <c r="G22" s="24" t="s">
        <v>28</v>
      </c>
      <c r="H22" s="63">
        <v>366757</v>
      </c>
      <c r="I22" s="52">
        <v>382404</v>
      </c>
      <c r="J22" s="52"/>
      <c r="K22" s="52">
        <f>I22*1.22638</f>
        <v>468972.61752000003</v>
      </c>
      <c r="O22" s="4"/>
    </row>
    <row r="23" spans="1:15" ht="15.6" x14ac:dyDescent="0.3">
      <c r="A23" s="5"/>
      <c r="B23" s="22" t="s">
        <v>24</v>
      </c>
      <c r="C23" s="169" t="s">
        <v>84</v>
      </c>
      <c r="D23" s="170"/>
      <c r="E23" s="170"/>
      <c r="F23" s="171"/>
      <c r="G23" s="24" t="s">
        <v>28</v>
      </c>
      <c r="H23" s="63">
        <v>396842</v>
      </c>
      <c r="I23" s="52">
        <v>443479</v>
      </c>
      <c r="J23" s="52"/>
      <c r="K23" s="52">
        <f>I23*1.22638</f>
        <v>543873.77601999999</v>
      </c>
      <c r="O23" s="4"/>
    </row>
    <row r="24" spans="1:15" ht="15.6" x14ac:dyDescent="0.3">
      <c r="A24" s="5"/>
      <c r="B24" s="21" t="s">
        <v>25</v>
      </c>
      <c r="C24" s="169" t="s">
        <v>78</v>
      </c>
      <c r="D24" s="170"/>
      <c r="E24" s="170"/>
      <c r="F24" s="171"/>
      <c r="G24" s="24" t="s">
        <v>28</v>
      </c>
      <c r="H24" s="63">
        <f>SUM(H25:H26)</f>
        <v>201224</v>
      </c>
      <c r="I24" s="52">
        <f>SUM(I25:I26)</f>
        <v>331373</v>
      </c>
      <c r="J24" s="52">
        <f t="shared" ref="J24:K24" si="5">SUM(J25:J26)</f>
        <v>0</v>
      </c>
      <c r="K24" s="52">
        <f t="shared" si="5"/>
        <v>406389.21974000003</v>
      </c>
      <c r="O24" s="4"/>
    </row>
    <row r="25" spans="1:15" ht="15.6" x14ac:dyDescent="0.3">
      <c r="A25" s="5"/>
      <c r="B25" s="22"/>
      <c r="C25" s="190" t="s">
        <v>6</v>
      </c>
      <c r="D25" s="191"/>
      <c r="E25" s="191"/>
      <c r="F25" s="192"/>
      <c r="G25" s="24" t="s">
        <v>28</v>
      </c>
      <c r="H25" s="63">
        <v>185875</v>
      </c>
      <c r="I25" s="52">
        <v>243500</v>
      </c>
      <c r="J25" s="52"/>
      <c r="K25" s="52">
        <f t="shared" ref="K25:K26" si="6">I25*1.22638</f>
        <v>298623.53000000003</v>
      </c>
      <c r="O25" s="4"/>
    </row>
    <row r="26" spans="1:15" ht="15.6" x14ac:dyDescent="0.3">
      <c r="A26" s="5"/>
      <c r="B26" s="21"/>
      <c r="C26" s="190" t="s">
        <v>3</v>
      </c>
      <c r="D26" s="191"/>
      <c r="E26" s="191"/>
      <c r="F26" s="192"/>
      <c r="G26" s="24" t="s">
        <v>28</v>
      </c>
      <c r="H26" s="63">
        <v>15349</v>
      </c>
      <c r="I26" s="52">
        <v>87873</v>
      </c>
      <c r="J26" s="52"/>
      <c r="K26" s="52">
        <f t="shared" si="6"/>
        <v>107765.68974</v>
      </c>
      <c r="O26" s="4"/>
    </row>
    <row r="27" spans="1:15" ht="15.6" x14ac:dyDescent="0.3">
      <c r="A27" s="5"/>
      <c r="B27" s="22" t="s">
        <v>27</v>
      </c>
      <c r="C27" s="169" t="s">
        <v>80</v>
      </c>
      <c r="D27" s="170"/>
      <c r="E27" s="170"/>
      <c r="F27" s="171"/>
      <c r="G27" s="24" t="s">
        <v>28</v>
      </c>
      <c r="H27" s="63">
        <f t="shared" ref="H27" si="7">SUM(H28:H29)</f>
        <v>388901</v>
      </c>
      <c r="I27" s="52">
        <f t="shared" ref="I27:K27" si="8">SUM(I28:I29)</f>
        <v>285157</v>
      </c>
      <c r="J27" s="52">
        <f t="shared" si="8"/>
        <v>0</v>
      </c>
      <c r="K27" s="52">
        <f t="shared" si="8"/>
        <v>349710.84166000003</v>
      </c>
      <c r="O27" s="4"/>
    </row>
    <row r="28" spans="1:15" ht="15.6" x14ac:dyDescent="0.3">
      <c r="A28" s="5"/>
      <c r="B28" s="21"/>
      <c r="C28" s="190" t="s">
        <v>7</v>
      </c>
      <c r="D28" s="191"/>
      <c r="E28" s="191"/>
      <c r="F28" s="192"/>
      <c r="G28" s="24" t="s">
        <v>28</v>
      </c>
      <c r="H28" s="63">
        <v>241694</v>
      </c>
      <c r="I28" s="52">
        <v>215184</v>
      </c>
      <c r="J28" s="52"/>
      <c r="K28" s="52">
        <f>I28*1.22638</f>
        <v>263897.35392000002</v>
      </c>
      <c r="O28" s="4"/>
    </row>
    <row r="29" spans="1:15" ht="15.6" x14ac:dyDescent="0.3">
      <c r="A29" s="5"/>
      <c r="B29" s="22"/>
      <c r="C29" s="190" t="s">
        <v>8</v>
      </c>
      <c r="D29" s="191"/>
      <c r="E29" s="191"/>
      <c r="F29" s="192"/>
      <c r="G29" s="24" t="s">
        <v>28</v>
      </c>
      <c r="H29" s="63">
        <v>147207</v>
      </c>
      <c r="I29" s="52">
        <v>69973</v>
      </c>
      <c r="J29" s="52"/>
      <c r="K29" s="52">
        <f>I29*1.22638</f>
        <v>85813.487739999997</v>
      </c>
      <c r="O29" s="4"/>
    </row>
    <row r="30" spans="1:15" ht="15.6" x14ac:dyDescent="0.3">
      <c r="A30" s="5"/>
      <c r="B30" s="22" t="s">
        <v>26</v>
      </c>
      <c r="C30" s="106" t="s">
        <v>77</v>
      </c>
      <c r="D30" s="107"/>
      <c r="E30" s="107"/>
      <c r="F30" s="108"/>
      <c r="G30" s="24" t="s">
        <v>28</v>
      </c>
      <c r="H30" s="63">
        <f>H21-H22-H23-H24-H27</f>
        <v>451099</v>
      </c>
      <c r="I30" s="63">
        <f t="shared" ref="I30:K30" si="9">I21-I22-I23-I24-I27</f>
        <v>495197.50391237019</v>
      </c>
      <c r="J30" s="63">
        <f t="shared" si="9"/>
        <v>0</v>
      </c>
      <c r="K30" s="63">
        <f t="shared" si="9"/>
        <v>607305.57435934979</v>
      </c>
      <c r="O30" s="4"/>
    </row>
    <row r="31" spans="1:15" ht="15.6" x14ac:dyDescent="0.3">
      <c r="A31" s="5"/>
      <c r="B31" s="23">
        <v>3</v>
      </c>
      <c r="C31" s="199" t="s">
        <v>9</v>
      </c>
      <c r="D31" s="200"/>
      <c r="E31" s="200"/>
      <c r="F31" s="201"/>
      <c r="G31" s="117" t="s">
        <v>28</v>
      </c>
      <c r="H31" s="121">
        <f t="shared" ref="H31" si="10">H11-H21</f>
        <v>-1018479</v>
      </c>
      <c r="I31" s="114">
        <f t="shared" ref="I31:J31" si="11">I11-I21</f>
        <v>-1272604.6559172249</v>
      </c>
      <c r="J31" s="114">
        <f t="shared" si="11"/>
        <v>0</v>
      </c>
      <c r="K31" s="114">
        <f>K11-K21</f>
        <v>2894103.2350923703</v>
      </c>
      <c r="O31" s="4"/>
    </row>
    <row r="32" spans="1:15" ht="15.6" x14ac:dyDescent="0.3">
      <c r="A32" s="5"/>
      <c r="B32" s="24">
        <v>4</v>
      </c>
      <c r="C32" s="169" t="s">
        <v>10</v>
      </c>
      <c r="D32" s="170"/>
      <c r="E32" s="170"/>
      <c r="F32" s="171"/>
      <c r="G32" s="24" t="s">
        <v>28</v>
      </c>
      <c r="H32" s="63" t="s">
        <v>56</v>
      </c>
      <c r="I32" s="52" t="s">
        <v>56</v>
      </c>
      <c r="J32" s="52" t="s">
        <v>56</v>
      </c>
      <c r="K32" s="52" t="s">
        <v>56</v>
      </c>
      <c r="O32" s="4"/>
    </row>
    <row r="33" spans="1:15" ht="15.6" x14ac:dyDescent="0.3">
      <c r="A33" s="5"/>
      <c r="B33" s="12">
        <v>5</v>
      </c>
      <c r="C33" s="169" t="s">
        <v>11</v>
      </c>
      <c r="D33" s="170"/>
      <c r="E33" s="170"/>
      <c r="F33" s="171"/>
      <c r="G33" s="24" t="s">
        <v>28</v>
      </c>
      <c r="H33" s="63">
        <v>387068</v>
      </c>
      <c r="I33" s="52">
        <v>131422.99</v>
      </c>
      <c r="J33" s="52"/>
      <c r="K33" s="52">
        <f>253.763779899855*1000</f>
        <v>253763.779899855</v>
      </c>
      <c r="O33" s="4"/>
    </row>
    <row r="34" spans="1:15" ht="15.6" x14ac:dyDescent="0.3">
      <c r="A34" s="5"/>
      <c r="B34" s="24">
        <v>6</v>
      </c>
      <c r="C34" s="169" t="s">
        <v>12</v>
      </c>
      <c r="D34" s="170"/>
      <c r="E34" s="170"/>
      <c r="F34" s="171"/>
      <c r="G34" s="24" t="s">
        <v>28</v>
      </c>
      <c r="H34" s="63">
        <v>-1147742</v>
      </c>
      <c r="I34" s="52">
        <v>-996036</v>
      </c>
      <c r="J34" s="52"/>
      <c r="K34" s="52">
        <v>-783655</v>
      </c>
      <c r="O34" s="4"/>
    </row>
    <row r="35" spans="1:15" ht="15.6" x14ac:dyDescent="0.3">
      <c r="A35" s="5"/>
      <c r="B35" s="12">
        <v>7</v>
      </c>
      <c r="C35" s="169" t="s">
        <v>13</v>
      </c>
      <c r="D35" s="170"/>
      <c r="E35" s="170"/>
      <c r="F35" s="171"/>
      <c r="G35" s="24" t="s">
        <v>28</v>
      </c>
      <c r="H35" s="63">
        <v>3071748</v>
      </c>
      <c r="I35" s="52">
        <v>3221402.1532664597</v>
      </c>
      <c r="J35" s="52"/>
      <c r="K35" s="52">
        <v>0</v>
      </c>
      <c r="O35" s="4"/>
    </row>
    <row r="36" spans="1:15" ht="15.6" x14ac:dyDescent="0.3">
      <c r="A36" s="5"/>
      <c r="B36" s="24">
        <v>8</v>
      </c>
      <c r="C36" s="169" t="s">
        <v>14</v>
      </c>
      <c r="D36" s="170"/>
      <c r="E36" s="170"/>
      <c r="F36" s="171"/>
      <c r="G36" s="24" t="s">
        <v>28</v>
      </c>
      <c r="H36" s="63">
        <v>-173770</v>
      </c>
      <c r="I36" s="52">
        <v>-20719.8</v>
      </c>
      <c r="J36" s="52"/>
      <c r="K36" s="52">
        <v>-12000</v>
      </c>
      <c r="M36" s="4"/>
      <c r="O36" s="4"/>
    </row>
    <row r="37" spans="1:15" ht="15.6" x14ac:dyDescent="0.3">
      <c r="A37" s="5"/>
      <c r="B37" s="30">
        <v>9</v>
      </c>
      <c r="C37" s="196" t="s">
        <v>15</v>
      </c>
      <c r="D37" s="197"/>
      <c r="E37" s="197"/>
      <c r="F37" s="198"/>
      <c r="G37" s="30" t="s">
        <v>28</v>
      </c>
      <c r="H37" s="122">
        <f t="shared" ref="H37" si="12">SUM(H31:H36)</f>
        <v>1118825</v>
      </c>
      <c r="I37" s="49">
        <f>SUM(I31:I36)</f>
        <v>1063464.6873492345</v>
      </c>
      <c r="J37" s="49">
        <f t="shared" ref="J37" si="13">SUM(J31:J36)</f>
        <v>0</v>
      </c>
      <c r="K37" s="49">
        <f>SUM(K31:K36)</f>
        <v>2352212.0149922254</v>
      </c>
      <c r="O37" s="4"/>
    </row>
    <row r="38" spans="1:15" ht="15.6" x14ac:dyDescent="0.3">
      <c r="A38" s="5"/>
      <c r="B38" s="24">
        <v>10</v>
      </c>
      <c r="C38" s="45" t="s">
        <v>58</v>
      </c>
      <c r="D38" s="46"/>
      <c r="E38" s="46"/>
      <c r="F38" s="47"/>
      <c r="G38" s="24" t="s">
        <v>28</v>
      </c>
      <c r="H38" s="63">
        <v>-325543</v>
      </c>
      <c r="I38" s="52">
        <v>-268881.44210063276</v>
      </c>
      <c r="J38" s="49"/>
      <c r="K38" s="52">
        <v>-588053</v>
      </c>
      <c r="O38" s="4"/>
    </row>
    <row r="39" spans="1:15" ht="15.6" x14ac:dyDescent="0.3">
      <c r="A39" s="5"/>
      <c r="B39" s="22" t="s">
        <v>22</v>
      </c>
      <c r="C39" s="18" t="s">
        <v>60</v>
      </c>
      <c r="D39" s="19"/>
      <c r="E39" s="19"/>
      <c r="F39" s="19"/>
      <c r="G39" s="24" t="s">
        <v>28</v>
      </c>
      <c r="H39" s="63">
        <v>-52101</v>
      </c>
      <c r="I39" s="52">
        <v>0</v>
      </c>
      <c r="J39" s="52"/>
      <c r="K39" s="52">
        <f>-294.026478045816*1000</f>
        <v>-294026.47804581601</v>
      </c>
      <c r="O39" s="4"/>
    </row>
    <row r="40" spans="1:15" ht="15.6" x14ac:dyDescent="0.3">
      <c r="A40" s="5"/>
      <c r="B40" s="22" t="s">
        <v>61</v>
      </c>
      <c r="C40" s="169" t="s">
        <v>62</v>
      </c>
      <c r="D40" s="170"/>
      <c r="E40" s="170"/>
      <c r="F40" s="171"/>
      <c r="G40" s="24" t="s">
        <v>28</v>
      </c>
      <c r="H40" s="63">
        <v>-273442</v>
      </c>
      <c r="I40" s="52">
        <v>-268881.44210063276</v>
      </c>
      <c r="J40" s="52"/>
      <c r="K40" s="52">
        <f>-294.026478045816*1000</f>
        <v>-294026.47804581601</v>
      </c>
      <c r="O40" s="4"/>
    </row>
    <row r="41" spans="1:15" ht="15.6" x14ac:dyDescent="0.3">
      <c r="A41" s="5"/>
      <c r="B41" s="12" t="s">
        <v>59</v>
      </c>
      <c r="C41" s="25" t="s">
        <v>16</v>
      </c>
      <c r="D41" s="26"/>
      <c r="E41" s="26"/>
      <c r="F41" s="27"/>
      <c r="G41" s="24" t="s">
        <v>28</v>
      </c>
      <c r="H41" s="63">
        <v>0</v>
      </c>
      <c r="I41" s="52">
        <v>0</v>
      </c>
      <c r="J41" s="52"/>
      <c r="K41" s="52">
        <v>0</v>
      </c>
      <c r="O41" s="4"/>
    </row>
    <row r="42" spans="1:15" ht="15.6" x14ac:dyDescent="0.3">
      <c r="A42" s="5"/>
      <c r="B42" s="30">
        <v>12</v>
      </c>
      <c r="C42" s="196" t="s">
        <v>17</v>
      </c>
      <c r="D42" s="197"/>
      <c r="E42" s="197"/>
      <c r="F42" s="198"/>
      <c r="G42" s="30" t="s">
        <v>28</v>
      </c>
      <c r="H42" s="122">
        <f t="shared" ref="H42" si="14">H37+H38+H41</f>
        <v>793282</v>
      </c>
      <c r="I42" s="49">
        <f>I37+I38+I41</f>
        <v>794583.24524860177</v>
      </c>
      <c r="J42" s="49">
        <f t="shared" ref="J42" si="15">J37+J38+J41</f>
        <v>0</v>
      </c>
      <c r="K42" s="49">
        <f>K37+K38+K41</f>
        <v>1764159.0149922254</v>
      </c>
      <c r="O42" s="4"/>
    </row>
    <row r="43" spans="1:15" ht="15.6" x14ac:dyDescent="0.3">
      <c r="A43" s="5"/>
      <c r="B43" s="7"/>
      <c r="C43" s="7"/>
      <c r="D43" s="7"/>
      <c r="E43" s="7"/>
      <c r="F43" s="7"/>
      <c r="G43" s="7"/>
      <c r="H43" s="82"/>
      <c r="I43" s="7"/>
      <c r="J43" s="7"/>
    </row>
    <row r="44" spans="1:15" x14ac:dyDescent="0.3">
      <c r="A44" s="5"/>
      <c r="B44" s="28"/>
      <c r="C44" s="28"/>
      <c r="D44" s="28"/>
      <c r="E44" s="28"/>
      <c r="F44" s="28"/>
      <c r="G44" s="28"/>
      <c r="H44" s="85"/>
      <c r="I44" s="29"/>
      <c r="J44" s="28"/>
    </row>
    <row r="45" spans="1:15" x14ac:dyDescent="0.3">
      <c r="B45" s="1"/>
      <c r="C45" s="1"/>
      <c r="D45" s="1"/>
      <c r="E45" s="1"/>
      <c r="F45" s="1"/>
      <c r="G45" s="1"/>
      <c r="H45" s="86"/>
      <c r="I45" s="3"/>
      <c r="J45" s="1"/>
    </row>
    <row r="46" spans="1:15" x14ac:dyDescent="0.3">
      <c r="B46" s="1"/>
      <c r="C46" s="1"/>
      <c r="D46" s="1"/>
      <c r="E46" s="1"/>
      <c r="F46" s="1"/>
      <c r="G46" s="1"/>
      <c r="H46" s="87"/>
      <c r="I46" s="1"/>
      <c r="J46" s="1"/>
    </row>
    <row r="47" spans="1:15" x14ac:dyDescent="0.3">
      <c r="B47" s="1"/>
      <c r="C47" s="1"/>
      <c r="D47" s="1"/>
      <c r="E47" s="1"/>
      <c r="F47" s="1"/>
      <c r="G47" s="1"/>
      <c r="H47" s="87"/>
      <c r="I47" s="1"/>
      <c r="J47" s="1"/>
    </row>
    <row r="48" spans="1:15" x14ac:dyDescent="0.3">
      <c r="B48" s="1"/>
      <c r="C48" s="1"/>
      <c r="D48" s="1"/>
      <c r="E48" s="1"/>
      <c r="F48" s="1"/>
      <c r="G48" s="1"/>
      <c r="H48" s="87"/>
      <c r="I48" s="1"/>
      <c r="J48" s="1"/>
    </row>
    <row r="49" spans="2:10" x14ac:dyDescent="0.3">
      <c r="B49" s="1"/>
      <c r="C49" s="1"/>
      <c r="D49" s="1"/>
      <c r="E49" s="1"/>
      <c r="F49" s="1"/>
      <c r="G49" s="1"/>
      <c r="H49" s="87"/>
      <c r="I49" s="1"/>
      <c r="J49" s="1"/>
    </row>
    <row r="50" spans="2:10" x14ac:dyDescent="0.3">
      <c r="B50" s="1"/>
      <c r="C50" s="1"/>
      <c r="D50" s="1"/>
      <c r="E50" s="1"/>
      <c r="F50" s="1"/>
      <c r="G50" s="1"/>
      <c r="H50" s="87"/>
      <c r="I50" s="1"/>
      <c r="J50" s="1"/>
    </row>
    <row r="51" spans="2:10" x14ac:dyDescent="0.3">
      <c r="B51" s="1"/>
      <c r="C51" s="1"/>
      <c r="D51" s="1"/>
      <c r="E51" s="1"/>
      <c r="F51" s="1"/>
      <c r="G51" s="1"/>
      <c r="H51" s="87"/>
      <c r="I51" s="1"/>
      <c r="J51" s="1"/>
    </row>
    <row r="52" spans="2:10" x14ac:dyDescent="0.3">
      <c r="B52" s="1"/>
      <c r="C52" s="1"/>
      <c r="D52" s="1"/>
      <c r="E52" s="1"/>
      <c r="F52" s="1"/>
      <c r="G52" s="1"/>
      <c r="H52" s="87"/>
      <c r="I52" s="1"/>
      <c r="J52" s="1"/>
    </row>
    <row r="53" spans="2:10" x14ac:dyDescent="0.3">
      <c r="B53" s="1"/>
      <c r="C53" s="1"/>
      <c r="D53" s="1"/>
      <c r="E53" s="1"/>
      <c r="F53" s="1"/>
      <c r="G53" s="1"/>
      <c r="H53" s="87"/>
      <c r="I53" s="1"/>
      <c r="J53" s="1"/>
    </row>
    <row r="54" spans="2:10" x14ac:dyDescent="0.3">
      <c r="B54" s="1"/>
      <c r="C54" s="1"/>
      <c r="D54" s="1"/>
      <c r="E54" s="1"/>
      <c r="F54" s="1"/>
      <c r="G54" s="1"/>
      <c r="H54" s="87"/>
      <c r="I54" s="1"/>
      <c r="J54" s="1"/>
    </row>
    <row r="55" spans="2:10" x14ac:dyDescent="0.3">
      <c r="B55" s="1"/>
      <c r="C55" s="1"/>
      <c r="D55" s="1"/>
      <c r="E55" s="1"/>
      <c r="F55" s="1"/>
      <c r="G55" s="1"/>
      <c r="H55" s="87"/>
      <c r="I55" s="1"/>
      <c r="J55" s="1"/>
    </row>
    <row r="56" spans="2:10" x14ac:dyDescent="0.3">
      <c r="B56" s="1"/>
      <c r="C56" s="1"/>
      <c r="D56" s="1"/>
      <c r="E56" s="1"/>
      <c r="F56" s="1"/>
      <c r="G56" s="1"/>
      <c r="H56" s="87"/>
      <c r="I56" s="1"/>
      <c r="J56" s="1"/>
    </row>
    <row r="57" spans="2:10" x14ac:dyDescent="0.3">
      <c r="B57" s="1"/>
      <c r="C57" s="1"/>
      <c r="D57" s="1"/>
      <c r="E57" s="1"/>
      <c r="F57" s="1"/>
      <c r="G57" s="1"/>
      <c r="H57" s="87"/>
      <c r="I57" s="1"/>
      <c r="J57" s="1"/>
    </row>
    <row r="58" spans="2:10" x14ac:dyDescent="0.3">
      <c r="B58" s="1"/>
      <c r="C58" s="1"/>
      <c r="D58" s="1"/>
      <c r="E58" s="1"/>
      <c r="F58" s="1"/>
      <c r="G58" s="1"/>
      <c r="H58" s="87"/>
      <c r="I58" s="1"/>
      <c r="J58" s="1"/>
    </row>
    <row r="59" spans="2:10" x14ac:dyDescent="0.3">
      <c r="B59" s="1"/>
      <c r="C59" s="1"/>
      <c r="D59" s="1"/>
      <c r="E59" s="1"/>
      <c r="F59" s="1"/>
      <c r="G59" s="1"/>
      <c r="H59" s="87"/>
      <c r="I59" s="1"/>
      <c r="J59" s="1"/>
    </row>
    <row r="60" spans="2:10" x14ac:dyDescent="0.3">
      <c r="B60" s="1"/>
      <c r="C60" s="1"/>
      <c r="D60" s="1"/>
      <c r="E60" s="1"/>
      <c r="F60" s="1"/>
      <c r="G60" s="1"/>
      <c r="H60" s="87"/>
      <c r="I60" s="1"/>
      <c r="J60" s="1"/>
    </row>
    <row r="61" spans="2:10" x14ac:dyDescent="0.3">
      <c r="B61" s="1"/>
      <c r="C61" s="1"/>
      <c r="D61" s="1"/>
      <c r="E61" s="1"/>
      <c r="F61" s="1"/>
      <c r="G61" s="1"/>
      <c r="H61" s="87"/>
      <c r="I61" s="1"/>
      <c r="J61" s="1"/>
    </row>
    <row r="62" spans="2:10" x14ac:dyDescent="0.3">
      <c r="B62" s="1"/>
      <c r="C62" s="1"/>
      <c r="D62" s="1"/>
      <c r="E62" s="1"/>
      <c r="F62" s="1"/>
      <c r="G62" s="1"/>
      <c r="H62" s="87"/>
      <c r="I62" s="1"/>
      <c r="J62" s="1"/>
    </row>
    <row r="63" spans="2:10" x14ac:dyDescent="0.3">
      <c r="B63" s="1"/>
      <c r="C63" s="1"/>
      <c r="D63" s="1"/>
      <c r="E63" s="1"/>
      <c r="F63" s="1"/>
      <c r="G63" s="1"/>
      <c r="H63" s="87"/>
      <c r="I63" s="1"/>
      <c r="J63" s="1"/>
    </row>
    <row r="64" spans="2:10" x14ac:dyDescent="0.3">
      <c r="B64" s="1"/>
      <c r="C64" s="1"/>
      <c r="D64" s="1"/>
      <c r="E64" s="1"/>
      <c r="F64" s="1"/>
      <c r="G64" s="1"/>
      <c r="H64" s="87"/>
      <c r="I64" s="1"/>
      <c r="J64" s="1"/>
    </row>
    <row r="65" spans="2:10" x14ac:dyDescent="0.3">
      <c r="B65" s="1"/>
      <c r="C65" s="1"/>
      <c r="D65" s="1"/>
      <c r="E65" s="1"/>
      <c r="F65" s="1"/>
      <c r="G65" s="1"/>
      <c r="H65" s="87"/>
      <c r="I65" s="1"/>
      <c r="J65" s="1"/>
    </row>
    <row r="66" spans="2:10" x14ac:dyDescent="0.3">
      <c r="B66" s="1"/>
      <c r="C66" s="1"/>
      <c r="D66" s="1"/>
      <c r="E66" s="1"/>
      <c r="F66" s="1"/>
      <c r="G66" s="1"/>
      <c r="H66" s="87"/>
      <c r="I66" s="1"/>
      <c r="J66" s="1"/>
    </row>
    <row r="67" spans="2:10" x14ac:dyDescent="0.3">
      <c r="B67" s="1"/>
      <c r="C67" s="1"/>
      <c r="D67" s="1"/>
      <c r="E67" s="1"/>
      <c r="F67" s="1"/>
      <c r="G67" s="1"/>
      <c r="H67" s="87"/>
      <c r="I67" s="1"/>
      <c r="J67" s="1"/>
    </row>
    <row r="68" spans="2:10" x14ac:dyDescent="0.3">
      <c r="B68" s="1"/>
      <c r="C68" s="1"/>
      <c r="D68" s="1"/>
      <c r="E68" s="1"/>
      <c r="F68" s="1"/>
      <c r="G68" s="1"/>
      <c r="H68" s="87"/>
      <c r="I68" s="1"/>
      <c r="J68" s="1"/>
    </row>
    <row r="69" spans="2:10" x14ac:dyDescent="0.3">
      <c r="B69" s="1"/>
      <c r="C69" s="1"/>
      <c r="D69" s="1"/>
      <c r="E69" s="1"/>
      <c r="F69" s="1"/>
      <c r="G69" s="1"/>
      <c r="H69" s="87"/>
      <c r="I69" s="1"/>
      <c r="J69" s="1"/>
    </row>
    <row r="70" spans="2:10" x14ac:dyDescent="0.3">
      <c r="B70" s="1"/>
      <c r="C70" s="1"/>
      <c r="D70" s="1"/>
      <c r="E70" s="1"/>
      <c r="F70" s="1"/>
      <c r="G70" s="1"/>
      <c r="H70" s="87"/>
      <c r="I70" s="1"/>
      <c r="J70" s="1"/>
    </row>
    <row r="71" spans="2:10" x14ac:dyDescent="0.3">
      <c r="B71" s="1"/>
      <c r="C71" s="1"/>
      <c r="D71" s="1"/>
      <c r="E71" s="1"/>
      <c r="F71" s="1"/>
      <c r="G71" s="1"/>
      <c r="H71" s="87"/>
      <c r="I71" s="1"/>
      <c r="J71" s="1"/>
    </row>
    <row r="72" spans="2:10" x14ac:dyDescent="0.3">
      <c r="B72" s="1"/>
      <c r="C72" s="1"/>
      <c r="D72" s="1"/>
      <c r="E72" s="1"/>
      <c r="F72" s="1"/>
      <c r="G72" s="1"/>
      <c r="H72" s="87"/>
      <c r="I72" s="1"/>
      <c r="J72" s="1"/>
    </row>
    <row r="73" spans="2:10" x14ac:dyDescent="0.3">
      <c r="B73" s="1"/>
      <c r="C73" s="1"/>
      <c r="D73" s="1"/>
      <c r="E73" s="1"/>
      <c r="F73" s="1"/>
      <c r="G73" s="1"/>
      <c r="H73" s="87"/>
      <c r="I73" s="1"/>
      <c r="J73" s="1"/>
    </row>
    <row r="74" spans="2:10" x14ac:dyDescent="0.3">
      <c r="B74" s="1"/>
      <c r="C74" s="1"/>
      <c r="D74" s="1"/>
      <c r="E74" s="1"/>
      <c r="F74" s="1"/>
      <c r="G74" s="1"/>
      <c r="H74" s="87"/>
      <c r="I74" s="1"/>
      <c r="J74" s="1"/>
    </row>
    <row r="75" spans="2:10" x14ac:dyDescent="0.3">
      <c r="B75" s="1"/>
      <c r="C75" s="1"/>
      <c r="D75" s="1"/>
      <c r="E75" s="1"/>
      <c r="F75" s="1"/>
      <c r="G75" s="1"/>
      <c r="H75" s="87"/>
      <c r="I75" s="1"/>
      <c r="J75" s="1"/>
    </row>
    <row r="76" spans="2:10" x14ac:dyDescent="0.3">
      <c r="B76" s="1"/>
      <c r="C76" s="1"/>
      <c r="D76" s="1"/>
      <c r="E76" s="1"/>
      <c r="F76" s="1"/>
      <c r="G76" s="1"/>
      <c r="H76" s="87"/>
      <c r="I76" s="1"/>
      <c r="J76" s="1"/>
    </row>
    <row r="77" spans="2:10" x14ac:dyDescent="0.3">
      <c r="B77" s="1"/>
      <c r="C77" s="1"/>
      <c r="D77" s="1"/>
      <c r="E77" s="1"/>
      <c r="F77" s="1"/>
      <c r="G77" s="1"/>
      <c r="H77" s="87"/>
      <c r="I77" s="1"/>
      <c r="J77" s="1"/>
    </row>
    <row r="78" spans="2:10" x14ac:dyDescent="0.3">
      <c r="B78" s="1"/>
      <c r="C78" s="1"/>
      <c r="D78" s="1"/>
      <c r="E78" s="1"/>
      <c r="F78" s="1"/>
      <c r="G78" s="1"/>
      <c r="H78" s="87"/>
      <c r="I78" s="1"/>
      <c r="J78" s="1"/>
    </row>
    <row r="79" spans="2:10" x14ac:dyDescent="0.3">
      <c r="B79" s="1"/>
      <c r="C79" s="1"/>
      <c r="D79" s="1"/>
      <c r="E79" s="1"/>
      <c r="F79" s="1"/>
      <c r="G79" s="1"/>
      <c r="H79" s="87"/>
      <c r="I79" s="1"/>
      <c r="J79" s="1"/>
    </row>
    <row r="80" spans="2:10" x14ac:dyDescent="0.3">
      <c r="B80" s="1"/>
      <c r="C80" s="1"/>
      <c r="D80" s="1"/>
      <c r="E80" s="1"/>
      <c r="F80" s="1"/>
      <c r="G80" s="1"/>
      <c r="H80" s="87"/>
      <c r="I80" s="1"/>
      <c r="J80" s="1"/>
    </row>
    <row r="81" spans="2:10" x14ac:dyDescent="0.3">
      <c r="B81" s="1"/>
      <c r="C81" s="1"/>
      <c r="D81" s="1"/>
      <c r="E81" s="1"/>
      <c r="F81" s="1"/>
      <c r="G81" s="1"/>
      <c r="H81" s="87"/>
      <c r="I81" s="1"/>
      <c r="J81" s="1"/>
    </row>
    <row r="82" spans="2:10" x14ac:dyDescent="0.3">
      <c r="B82" s="1"/>
      <c r="C82" s="1"/>
      <c r="D82" s="1"/>
      <c r="E82" s="1"/>
      <c r="F82" s="1"/>
      <c r="G82" s="1"/>
      <c r="H82" s="87"/>
      <c r="I82" s="1"/>
      <c r="J82" s="1"/>
    </row>
    <row r="83" spans="2:10" x14ac:dyDescent="0.3">
      <c r="B83" s="1"/>
      <c r="C83" s="1"/>
      <c r="D83" s="1"/>
      <c r="E83" s="1"/>
      <c r="F83" s="1"/>
      <c r="G83" s="1"/>
      <c r="H83" s="87"/>
      <c r="I83" s="1"/>
      <c r="J83" s="1"/>
    </row>
    <row r="84" spans="2:10" x14ac:dyDescent="0.3">
      <c r="B84" s="1"/>
      <c r="C84" s="1"/>
      <c r="D84" s="1"/>
      <c r="E84" s="1"/>
      <c r="F84" s="1"/>
      <c r="G84" s="1"/>
      <c r="H84" s="87"/>
      <c r="I84" s="1"/>
      <c r="J84" s="1"/>
    </row>
    <row r="85" spans="2:10" x14ac:dyDescent="0.3">
      <c r="B85" s="1"/>
      <c r="C85" s="1"/>
      <c r="D85" s="1"/>
      <c r="E85" s="1"/>
      <c r="F85" s="1"/>
      <c r="G85" s="1"/>
      <c r="H85" s="87"/>
      <c r="I85" s="1"/>
      <c r="J85" s="1"/>
    </row>
    <row r="86" spans="2:10" x14ac:dyDescent="0.3">
      <c r="B86" s="1"/>
      <c r="C86" s="1"/>
      <c r="D86" s="1"/>
      <c r="E86" s="1"/>
      <c r="F86" s="1"/>
      <c r="G86" s="1"/>
      <c r="H86" s="87"/>
      <c r="I86" s="1"/>
      <c r="J86" s="1"/>
    </row>
    <row r="87" spans="2:10" x14ac:dyDescent="0.3">
      <c r="B87" s="1"/>
      <c r="C87" s="1"/>
      <c r="D87" s="1"/>
      <c r="E87" s="1"/>
      <c r="F87" s="1"/>
      <c r="G87" s="1"/>
      <c r="H87" s="87"/>
      <c r="I87" s="1"/>
      <c r="J87" s="1"/>
    </row>
    <row r="88" spans="2:10" x14ac:dyDescent="0.3">
      <c r="B88" s="1"/>
      <c r="C88" s="1"/>
      <c r="D88" s="1"/>
      <c r="E88" s="1"/>
      <c r="F88" s="1"/>
      <c r="G88" s="1"/>
      <c r="H88" s="87"/>
      <c r="I88" s="1"/>
      <c r="J88" s="1"/>
    </row>
    <row r="89" spans="2:10" x14ac:dyDescent="0.3">
      <c r="B89" s="1"/>
      <c r="C89" s="1"/>
      <c r="D89" s="1"/>
      <c r="E89" s="1"/>
      <c r="F89" s="1"/>
      <c r="G89" s="1"/>
      <c r="H89" s="87"/>
      <c r="I89" s="1"/>
      <c r="J89" s="1"/>
    </row>
    <row r="90" spans="2:10" x14ac:dyDescent="0.3">
      <c r="B90" s="1"/>
      <c r="C90" s="1"/>
      <c r="D90" s="1"/>
      <c r="E90" s="1"/>
      <c r="F90" s="1"/>
      <c r="G90" s="1"/>
      <c r="H90" s="87"/>
      <c r="I90" s="1"/>
      <c r="J90" s="1"/>
    </row>
    <row r="91" spans="2:10" x14ac:dyDescent="0.3">
      <c r="B91" s="1"/>
      <c r="C91" s="1"/>
      <c r="D91" s="1"/>
      <c r="E91" s="1"/>
      <c r="F91" s="1"/>
      <c r="G91" s="1"/>
      <c r="H91" s="87"/>
      <c r="I91" s="1"/>
      <c r="J91" s="1"/>
    </row>
    <row r="92" spans="2:10" x14ac:dyDescent="0.3">
      <c r="B92" s="1"/>
      <c r="C92" s="1"/>
      <c r="D92" s="1"/>
      <c r="E92" s="1"/>
      <c r="F92" s="1"/>
      <c r="G92" s="1"/>
      <c r="H92" s="87"/>
      <c r="I92" s="1"/>
      <c r="J92" s="1"/>
    </row>
    <row r="93" spans="2:10" x14ac:dyDescent="0.3">
      <c r="B93" s="1"/>
      <c r="C93" s="1"/>
      <c r="D93" s="1"/>
      <c r="E93" s="1"/>
      <c r="F93" s="1"/>
      <c r="G93" s="1"/>
      <c r="H93" s="87"/>
      <c r="I93" s="1"/>
      <c r="J93" s="1"/>
    </row>
    <row r="94" spans="2:10" x14ac:dyDescent="0.3">
      <c r="B94" s="1"/>
      <c r="C94" s="1"/>
      <c r="D94" s="1"/>
      <c r="E94" s="1"/>
      <c r="F94" s="1"/>
      <c r="G94" s="1"/>
      <c r="H94" s="87"/>
      <c r="I94" s="1"/>
      <c r="J94" s="1"/>
    </row>
    <row r="95" spans="2:10" x14ac:dyDescent="0.3">
      <c r="B95" s="1"/>
      <c r="C95" s="1"/>
      <c r="D95" s="1"/>
      <c r="E95" s="1"/>
      <c r="F95" s="1"/>
      <c r="G95" s="1"/>
      <c r="H95" s="87"/>
      <c r="I95" s="1"/>
      <c r="J95" s="1"/>
    </row>
    <row r="96" spans="2:10" x14ac:dyDescent="0.3">
      <c r="B96" s="1"/>
      <c r="C96" s="1"/>
      <c r="D96" s="1"/>
      <c r="E96" s="1"/>
      <c r="F96" s="1"/>
      <c r="G96" s="1"/>
      <c r="H96" s="87"/>
      <c r="I96" s="1"/>
      <c r="J96" s="1"/>
    </row>
    <row r="97" spans="2:10" x14ac:dyDescent="0.3">
      <c r="B97" s="1"/>
      <c r="C97" s="1"/>
      <c r="D97" s="1"/>
      <c r="E97" s="1"/>
      <c r="F97" s="1"/>
      <c r="G97" s="1"/>
      <c r="H97" s="87"/>
      <c r="I97" s="1"/>
      <c r="J97" s="1"/>
    </row>
    <row r="98" spans="2:10" x14ac:dyDescent="0.3">
      <c r="B98" s="1"/>
      <c r="C98" s="1"/>
      <c r="D98" s="1"/>
      <c r="E98" s="1"/>
      <c r="F98" s="1"/>
      <c r="G98" s="1"/>
      <c r="H98" s="87"/>
      <c r="I98" s="1"/>
      <c r="J98" s="1"/>
    </row>
    <row r="99" spans="2:10" x14ac:dyDescent="0.3">
      <c r="B99" s="1"/>
      <c r="C99" s="1"/>
      <c r="D99" s="1"/>
      <c r="E99" s="1"/>
      <c r="F99" s="1"/>
      <c r="G99" s="1"/>
      <c r="H99" s="87"/>
      <c r="I99" s="1"/>
      <c r="J99" s="1"/>
    </row>
    <row r="100" spans="2:10" x14ac:dyDescent="0.3">
      <c r="B100" s="1"/>
      <c r="C100" s="1"/>
      <c r="D100" s="1"/>
      <c r="E100" s="1"/>
      <c r="F100" s="1"/>
      <c r="G100" s="1"/>
      <c r="H100" s="87"/>
      <c r="I100" s="1"/>
      <c r="J100" s="1"/>
    </row>
    <row r="101" spans="2:10" x14ac:dyDescent="0.3">
      <c r="B101" s="1"/>
      <c r="C101" s="1"/>
      <c r="D101" s="1"/>
      <c r="E101" s="1"/>
      <c r="F101" s="1"/>
      <c r="G101" s="1"/>
      <c r="H101" s="87"/>
      <c r="I101" s="1"/>
      <c r="J101" s="1"/>
    </row>
  </sheetData>
  <mergeCells count="34">
    <mergeCell ref="C25:F25"/>
    <mergeCell ref="C26:F26"/>
    <mergeCell ref="C27:F27"/>
    <mergeCell ref="C28:F28"/>
    <mergeCell ref="C29:F29"/>
    <mergeCell ref="C42:F42"/>
    <mergeCell ref="C36:F36"/>
    <mergeCell ref="C37:F37"/>
    <mergeCell ref="C40:F40"/>
    <mergeCell ref="C31:F31"/>
    <mergeCell ref="C32:F32"/>
    <mergeCell ref="C33:F33"/>
    <mergeCell ref="C34:F34"/>
    <mergeCell ref="C35:F35"/>
    <mergeCell ref="C23:F23"/>
    <mergeCell ref="C24:F24"/>
    <mergeCell ref="C13:F13"/>
    <mergeCell ref="C14:F14"/>
    <mergeCell ref="C16:F16"/>
    <mergeCell ref="C21:F21"/>
    <mergeCell ref="B2:K2"/>
    <mergeCell ref="B3:K3"/>
    <mergeCell ref="B4:K4"/>
    <mergeCell ref="C17:F17"/>
    <mergeCell ref="C22:F22"/>
    <mergeCell ref="K8:K10"/>
    <mergeCell ref="C11:F11"/>
    <mergeCell ref="H8:H10"/>
    <mergeCell ref="I8:I10"/>
    <mergeCell ref="C8:F10"/>
    <mergeCell ref="B6:K6"/>
    <mergeCell ref="C15:F15"/>
    <mergeCell ref="C18:F18"/>
    <mergeCell ref="C19:F19"/>
  </mergeCells>
  <pageMargins left="0.70866141732283472" right="0.70866141732283472" top="0.74803149606299213" bottom="0.74803149606299213" header="0.31496062992125984" footer="0.31496062992125984"/>
  <pageSetup paperSize="9" scale="7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V53"/>
  <sheetViews>
    <sheetView zoomScaleNormal="100" workbookViewId="0">
      <pane ySplit="10" topLeftCell="A32" activePane="bottomLeft" state="frozen"/>
      <selection pane="bottomLeft" activeCell="J41" sqref="J41"/>
    </sheetView>
  </sheetViews>
  <sheetFormatPr defaultRowHeight="14.4" x14ac:dyDescent="0.3"/>
  <cols>
    <col min="4" max="4" width="30.44140625" customWidth="1"/>
    <col min="5" max="5" width="12.44140625" customWidth="1"/>
    <col min="6" max="6" width="14.33203125" customWidth="1"/>
    <col min="7" max="9" width="9.44140625" bestFit="1" customWidth="1"/>
    <col min="10" max="10" width="10.21875" bestFit="1" customWidth="1"/>
    <col min="11" max="11" width="11.44140625" customWidth="1"/>
    <col min="12" max="12" width="18.44140625" customWidth="1"/>
    <col min="13" max="13" width="11.6640625" customWidth="1"/>
    <col min="14" max="14" width="10.6640625" customWidth="1"/>
    <col min="15" max="15" width="10.21875" bestFit="1" customWidth="1"/>
    <col min="16" max="16" width="11" style="163" bestFit="1" customWidth="1"/>
  </cols>
  <sheetData>
    <row r="3" spans="1:16" ht="15.6" x14ac:dyDescent="0.3">
      <c r="A3" s="167" t="s">
        <v>30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</row>
    <row r="4" spans="1:16" ht="15.6" x14ac:dyDescent="0.3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</row>
    <row r="5" spans="1:16" ht="15.6" x14ac:dyDescent="0.3">
      <c r="A5" s="31"/>
      <c r="B5" s="9"/>
      <c r="C5" s="9"/>
      <c r="D5" s="103"/>
      <c r="E5" s="10"/>
      <c r="F5" s="175" t="s">
        <v>32</v>
      </c>
      <c r="G5" s="176"/>
      <c r="H5" s="176"/>
      <c r="I5" s="176"/>
      <c r="J5" s="176"/>
      <c r="K5" s="176"/>
      <c r="L5" s="176"/>
      <c r="M5" s="176"/>
      <c r="N5" s="176"/>
      <c r="O5" s="177"/>
    </row>
    <row r="6" spans="1:16" ht="15" customHeight="1" x14ac:dyDescent="0.3">
      <c r="A6" s="32"/>
      <c r="B6" s="7"/>
      <c r="C6" s="7"/>
      <c r="D6" s="104"/>
      <c r="E6" s="33"/>
      <c r="F6" s="205" t="s">
        <v>43</v>
      </c>
      <c r="G6" s="205" t="s">
        <v>44</v>
      </c>
      <c r="H6" s="205" t="s">
        <v>45</v>
      </c>
      <c r="I6" s="205" t="s">
        <v>46</v>
      </c>
      <c r="J6" s="225" t="s">
        <v>47</v>
      </c>
      <c r="K6" s="205" t="s">
        <v>48</v>
      </c>
      <c r="L6" s="205" t="s">
        <v>49</v>
      </c>
      <c r="M6" s="205" t="s">
        <v>50</v>
      </c>
      <c r="N6" s="205" t="s">
        <v>51</v>
      </c>
      <c r="O6" s="205" t="s">
        <v>52</v>
      </c>
    </row>
    <row r="7" spans="1:16" ht="15.6" x14ac:dyDescent="0.3">
      <c r="A7" s="223" t="s">
        <v>31</v>
      </c>
      <c r="B7" s="168"/>
      <c r="C7" s="168"/>
      <c r="D7" s="224"/>
      <c r="E7" s="23" t="s">
        <v>33</v>
      </c>
      <c r="F7" s="206"/>
      <c r="G7" s="206"/>
      <c r="H7" s="206"/>
      <c r="I7" s="206"/>
      <c r="J7" s="226"/>
      <c r="K7" s="206"/>
      <c r="L7" s="206"/>
      <c r="M7" s="206"/>
      <c r="N7" s="206"/>
      <c r="O7" s="206"/>
    </row>
    <row r="8" spans="1:16" ht="15.6" x14ac:dyDescent="0.3">
      <c r="A8" s="32"/>
      <c r="B8" s="7"/>
      <c r="C8" s="7"/>
      <c r="D8" s="104"/>
      <c r="E8" s="23" t="s">
        <v>34</v>
      </c>
      <c r="F8" s="206"/>
      <c r="G8" s="206"/>
      <c r="H8" s="206"/>
      <c r="I8" s="206"/>
      <c r="J8" s="226"/>
      <c r="K8" s="206"/>
      <c r="L8" s="206"/>
      <c r="M8" s="206"/>
      <c r="N8" s="206"/>
      <c r="O8" s="206"/>
    </row>
    <row r="9" spans="1:16" ht="62.25" customHeight="1" x14ac:dyDescent="0.3">
      <c r="A9" s="34"/>
      <c r="B9" s="14"/>
      <c r="C9" s="14"/>
      <c r="D9" s="105"/>
      <c r="E9" s="54" t="s">
        <v>63</v>
      </c>
      <c r="F9" s="207"/>
      <c r="G9" s="207"/>
      <c r="H9" s="207"/>
      <c r="I9" s="207"/>
      <c r="J9" s="227"/>
      <c r="K9" s="207"/>
      <c r="L9" s="207"/>
      <c r="M9" s="207"/>
      <c r="N9" s="207"/>
      <c r="O9" s="207"/>
    </row>
    <row r="10" spans="1:16" ht="20.25" customHeight="1" x14ac:dyDescent="0.3">
      <c r="A10" s="34"/>
      <c r="B10" s="14"/>
      <c r="C10" s="14"/>
      <c r="D10" s="14"/>
      <c r="E10" s="24">
        <v>1</v>
      </c>
      <c r="F10" s="24">
        <v>2</v>
      </c>
      <c r="G10" s="24">
        <v>3</v>
      </c>
      <c r="H10" s="24">
        <v>4</v>
      </c>
      <c r="I10" s="24">
        <v>5</v>
      </c>
      <c r="J10" s="24">
        <v>6</v>
      </c>
      <c r="K10" s="24">
        <v>7</v>
      </c>
      <c r="L10" s="24">
        <v>8</v>
      </c>
      <c r="M10" s="24">
        <v>9</v>
      </c>
      <c r="N10" s="24">
        <v>10</v>
      </c>
      <c r="O10" s="24">
        <v>11</v>
      </c>
    </row>
    <row r="11" spans="1:16" s="88" customFormat="1" ht="13.5" customHeight="1" x14ac:dyDescent="0.3">
      <c r="A11" s="208" t="s">
        <v>69</v>
      </c>
      <c r="B11" s="209"/>
      <c r="C11" s="209"/>
      <c r="D11" s="210"/>
      <c r="E11" s="89"/>
      <c r="F11" s="90"/>
      <c r="G11" s="91"/>
      <c r="H11" s="90"/>
      <c r="I11" s="91"/>
      <c r="J11" s="90"/>
      <c r="K11" s="91"/>
      <c r="L11" s="90"/>
      <c r="M11" s="91"/>
      <c r="N11" s="90"/>
      <c r="O11" s="92"/>
      <c r="P11" s="164"/>
    </row>
    <row r="12" spans="1:16" s="88" customFormat="1" ht="15.6" x14ac:dyDescent="0.3">
      <c r="A12" s="214" t="s">
        <v>81</v>
      </c>
      <c r="B12" s="215"/>
      <c r="C12" s="215"/>
      <c r="D12" s="216"/>
      <c r="E12" s="122">
        <f>SUM(G12:K12)</f>
        <v>1353724</v>
      </c>
      <c r="F12" s="84"/>
      <c r="G12" s="132">
        <f>G13+G14+G15+G16</f>
        <v>79957</v>
      </c>
      <c r="H12" s="122">
        <f t="shared" ref="H12:K12" si="0">H13+H14+H15+H16</f>
        <v>440663</v>
      </c>
      <c r="I12" s="132">
        <f t="shared" si="0"/>
        <v>132541</v>
      </c>
      <c r="J12" s="122">
        <f t="shared" si="0"/>
        <v>471512</v>
      </c>
      <c r="K12" s="132">
        <f t="shared" si="0"/>
        <v>229051</v>
      </c>
      <c r="L12" s="131"/>
      <c r="M12" s="133"/>
      <c r="N12" s="131"/>
      <c r="O12" s="134"/>
      <c r="P12" s="164">
        <f t="shared" ref="P12:P19" si="1">E12-SUM(G12:K12)</f>
        <v>0</v>
      </c>
    </row>
    <row r="13" spans="1:16" s="162" customFormat="1" ht="15.6" x14ac:dyDescent="0.3">
      <c r="A13" s="169" t="s">
        <v>36</v>
      </c>
      <c r="B13" s="170"/>
      <c r="C13" s="170"/>
      <c r="D13" s="171"/>
      <c r="E13" s="63">
        <f>'Показатели ФХД'!H22</f>
        <v>366757</v>
      </c>
      <c r="F13" s="63"/>
      <c r="G13" s="64">
        <v>32410</v>
      </c>
      <c r="H13" s="62">
        <v>151017</v>
      </c>
      <c r="I13" s="64">
        <v>45265</v>
      </c>
      <c r="J13" s="62">
        <v>54114</v>
      </c>
      <c r="K13" s="64">
        <f>E13-SUM(G13:J13)</f>
        <v>83951</v>
      </c>
      <c r="L13" s="63"/>
      <c r="M13" s="65"/>
      <c r="N13" s="63"/>
      <c r="O13" s="66"/>
      <c r="P13" s="165">
        <f t="shared" si="1"/>
        <v>0</v>
      </c>
    </row>
    <row r="14" spans="1:16" s="88" customFormat="1" ht="15.6" x14ac:dyDescent="0.3">
      <c r="A14" s="146" t="s">
        <v>37</v>
      </c>
      <c r="B14" s="147"/>
      <c r="C14" s="147"/>
      <c r="D14" s="148"/>
      <c r="E14" s="63">
        <f>'Показатели ФХД'!H24</f>
        <v>201224</v>
      </c>
      <c r="F14" s="83"/>
      <c r="G14" s="64">
        <v>12497</v>
      </c>
      <c r="H14" s="62">
        <v>38621</v>
      </c>
      <c r="I14" s="64">
        <v>11642</v>
      </c>
      <c r="J14" s="62">
        <v>117851</v>
      </c>
      <c r="K14" s="64">
        <f t="shared" ref="K14:K16" si="2">E14-SUM(G14:J14)</f>
        <v>20613</v>
      </c>
      <c r="L14" s="93"/>
      <c r="M14" s="94"/>
      <c r="N14" s="93"/>
      <c r="O14" s="95"/>
      <c r="P14" s="164">
        <f t="shared" si="1"/>
        <v>0</v>
      </c>
    </row>
    <row r="15" spans="1:16" s="88" customFormat="1" ht="15.6" x14ac:dyDescent="0.3">
      <c r="A15" s="146" t="s">
        <v>85</v>
      </c>
      <c r="B15" s="147"/>
      <c r="C15" s="147"/>
      <c r="D15" s="148"/>
      <c r="E15" s="63">
        <f>'Показатели ФХД'!H23</f>
        <v>396842</v>
      </c>
      <c r="F15" s="96"/>
      <c r="G15" s="64">
        <v>12846</v>
      </c>
      <c r="H15" s="124">
        <v>173185</v>
      </c>
      <c r="I15" s="123">
        <v>52166</v>
      </c>
      <c r="J15" s="124">
        <v>77251</v>
      </c>
      <c r="K15" s="123">
        <f t="shared" si="2"/>
        <v>81394</v>
      </c>
      <c r="L15" s="97"/>
      <c r="M15" s="98"/>
      <c r="N15" s="97"/>
      <c r="O15" s="99"/>
      <c r="P15" s="164">
        <f t="shared" si="1"/>
        <v>0</v>
      </c>
    </row>
    <row r="16" spans="1:16" s="88" customFormat="1" ht="15.6" x14ac:dyDescent="0.3">
      <c r="A16" s="146" t="s">
        <v>39</v>
      </c>
      <c r="B16" s="147"/>
      <c r="C16" s="147"/>
      <c r="D16" s="148"/>
      <c r="E16" s="63">
        <f>'Показатели ФХД'!H27</f>
        <v>388901</v>
      </c>
      <c r="F16" s="83"/>
      <c r="G16" s="64">
        <v>22204</v>
      </c>
      <c r="H16" s="62">
        <v>77840</v>
      </c>
      <c r="I16" s="64">
        <v>23468</v>
      </c>
      <c r="J16" s="62">
        <v>222296</v>
      </c>
      <c r="K16" s="64">
        <f t="shared" si="2"/>
        <v>43093</v>
      </c>
      <c r="L16" s="93"/>
      <c r="M16" s="94"/>
      <c r="N16" s="93"/>
      <c r="O16" s="95"/>
      <c r="P16" s="164">
        <f t="shared" si="1"/>
        <v>0</v>
      </c>
    </row>
    <row r="17" spans="1:22" ht="15.6" x14ac:dyDescent="0.3">
      <c r="A17" s="111" t="s">
        <v>86</v>
      </c>
      <c r="B17" s="112"/>
      <c r="C17" s="112"/>
      <c r="D17" s="113"/>
      <c r="E17" s="63"/>
      <c r="F17" s="63"/>
      <c r="G17" s="64"/>
      <c r="H17" s="62"/>
      <c r="I17" s="64"/>
      <c r="J17" s="62"/>
      <c r="K17" s="64"/>
      <c r="L17" s="63"/>
      <c r="M17" s="65"/>
      <c r="N17" s="63"/>
      <c r="O17" s="66"/>
      <c r="P17" s="164">
        <f t="shared" si="1"/>
        <v>0</v>
      </c>
    </row>
    <row r="18" spans="1:22" s="88" customFormat="1" ht="15.6" x14ac:dyDescent="0.3">
      <c r="A18" s="146" t="s">
        <v>40</v>
      </c>
      <c r="B18" s="147"/>
      <c r="C18" s="147"/>
      <c r="D18" s="148"/>
      <c r="E18" s="63"/>
      <c r="F18" s="83"/>
      <c r="G18" s="100"/>
      <c r="H18" s="101"/>
      <c r="I18" s="100"/>
      <c r="J18" s="102"/>
      <c r="K18" s="64"/>
      <c r="L18" s="93"/>
      <c r="M18" s="94"/>
      <c r="N18" s="93"/>
      <c r="O18" s="95"/>
      <c r="P18" s="164">
        <f t="shared" si="1"/>
        <v>0</v>
      </c>
    </row>
    <row r="19" spans="1:22" s="129" customFormat="1" ht="15.6" x14ac:dyDescent="0.3">
      <c r="A19" s="149" t="s">
        <v>83</v>
      </c>
      <c r="B19" s="150"/>
      <c r="C19" s="150"/>
      <c r="D19" s="151"/>
      <c r="E19" s="122">
        <f>'Показатели ФХД'!H30</f>
        <v>451099</v>
      </c>
      <c r="F19" s="84"/>
      <c r="G19" s="130">
        <f>G20-G12</f>
        <v>27528.699999999997</v>
      </c>
      <c r="H19" s="130">
        <f t="shared" ref="H19:J19" si="3">H20-H12</f>
        <v>147098</v>
      </c>
      <c r="I19" s="130">
        <f t="shared" si="3"/>
        <v>44378</v>
      </c>
      <c r="J19" s="130">
        <f t="shared" si="3"/>
        <v>164172</v>
      </c>
      <c r="K19" s="128">
        <f t="shared" ref="K19" si="4">E19-SUM(G19:J19)</f>
        <v>67922.299999999988</v>
      </c>
      <c r="L19" s="131"/>
      <c r="M19" s="131"/>
      <c r="N19" s="131"/>
      <c r="O19" s="131"/>
      <c r="P19" s="164">
        <f t="shared" si="1"/>
        <v>0</v>
      </c>
    </row>
    <row r="20" spans="1:22" s="129" customFormat="1" ht="15.6" x14ac:dyDescent="0.3">
      <c r="A20" s="149" t="s">
        <v>82</v>
      </c>
      <c r="B20" s="150"/>
      <c r="C20" s="150"/>
      <c r="D20" s="152"/>
      <c r="E20" s="121">
        <f>'Показатели ФХД'!H21</f>
        <v>1804823</v>
      </c>
      <c r="F20" s="125"/>
      <c r="G20" s="135">
        <v>107485.7</v>
      </c>
      <c r="H20" s="136">
        <v>587761</v>
      </c>
      <c r="I20" s="135">
        <v>176919</v>
      </c>
      <c r="J20" s="136">
        <v>635684</v>
      </c>
      <c r="K20" s="137">
        <f t="shared" ref="K20" si="5">E20-SUM(G20:J20)</f>
        <v>296973.30000000005</v>
      </c>
      <c r="L20" s="127"/>
      <c r="M20" s="126"/>
      <c r="N20" s="138"/>
      <c r="O20" s="139"/>
      <c r="P20" s="166">
        <f t="shared" ref="P20" si="6">E20-SUM(G20:K20)</f>
        <v>0</v>
      </c>
    </row>
    <row r="21" spans="1:22" s="129" customFormat="1" ht="16.2" thickBot="1" x14ac:dyDescent="0.35">
      <c r="A21" s="153" t="s">
        <v>14</v>
      </c>
      <c r="B21" s="154"/>
      <c r="C21" s="154"/>
      <c r="D21" s="155"/>
      <c r="E21" s="122">
        <f>-('Показатели ФХД'!H34+'Показатели ФХД'!H36)</f>
        <v>1321512</v>
      </c>
      <c r="F21" s="140"/>
      <c r="G21" s="141"/>
      <c r="H21" s="142"/>
      <c r="I21" s="141"/>
      <c r="J21" s="142"/>
      <c r="K21" s="141"/>
      <c r="L21" s="145">
        <v>6298.4</v>
      </c>
      <c r="M21" s="143">
        <f>-'Показатели ФХД'!H34</f>
        <v>1147742</v>
      </c>
      <c r="N21" s="145">
        <v>2074.9</v>
      </c>
      <c r="O21" s="144">
        <f>E21-L21-M21-N21</f>
        <v>165396.7000000001</v>
      </c>
      <c r="P21" s="166">
        <f>E21-SUM(L21:O21)</f>
        <v>0</v>
      </c>
    </row>
    <row r="22" spans="1:22" ht="16.2" hidden="1" thickBot="1" x14ac:dyDescent="0.35">
      <c r="A22" s="220" t="s">
        <v>55</v>
      </c>
      <c r="B22" s="221"/>
      <c r="C22" s="221"/>
      <c r="D22" s="222"/>
      <c r="E22" s="56"/>
      <c r="F22" s="56"/>
      <c r="G22" s="57"/>
      <c r="H22" s="58"/>
      <c r="I22" s="57"/>
      <c r="J22" s="58"/>
      <c r="K22" s="57"/>
      <c r="L22" s="59"/>
      <c r="M22" s="60"/>
      <c r="N22" s="59"/>
      <c r="O22" s="61"/>
      <c r="P22" s="164"/>
    </row>
    <row r="23" spans="1:22" ht="16.2" hidden="1" thickBot="1" x14ac:dyDescent="0.35">
      <c r="A23" s="196" t="s">
        <v>35</v>
      </c>
      <c r="B23" s="170"/>
      <c r="C23" s="170"/>
      <c r="D23" s="171"/>
      <c r="E23" s="52">
        <f>G23+H23+I23+J23+K23</f>
        <v>0</v>
      </c>
      <c r="F23" s="52"/>
      <c r="G23" s="62"/>
      <c r="H23" s="62"/>
      <c r="I23" s="62"/>
      <c r="J23" s="62"/>
      <c r="K23" s="62"/>
      <c r="L23" s="63"/>
      <c r="M23" s="63"/>
      <c r="N23" s="63"/>
      <c r="O23" s="63"/>
      <c r="P23" s="164"/>
    </row>
    <row r="24" spans="1:22" ht="32.25" hidden="1" customHeight="1" x14ac:dyDescent="0.3">
      <c r="A24" s="217" t="s">
        <v>36</v>
      </c>
      <c r="B24" s="218"/>
      <c r="C24" s="218"/>
      <c r="D24" s="219"/>
      <c r="E24" s="52">
        <f>G24+H24+I24+J24+K24</f>
        <v>0</v>
      </c>
      <c r="F24" s="52"/>
      <c r="G24" s="64"/>
      <c r="H24" s="62"/>
      <c r="I24" s="64"/>
      <c r="J24" s="62"/>
      <c r="K24" s="55"/>
      <c r="L24" s="63"/>
      <c r="M24" s="65"/>
      <c r="N24" s="63"/>
      <c r="O24" s="66"/>
      <c r="P24" s="164"/>
    </row>
    <row r="25" spans="1:22" ht="16.2" hidden="1" thickBot="1" x14ac:dyDescent="0.35">
      <c r="A25" s="35" t="s">
        <v>37</v>
      </c>
      <c r="B25" s="26"/>
      <c r="C25" s="26"/>
      <c r="D25" s="27"/>
      <c r="E25" s="52">
        <f t="shared" ref="E25:E27" si="7">G25+H25+I25+J25+K25</f>
        <v>0</v>
      </c>
      <c r="F25" s="52"/>
      <c r="G25" s="64"/>
      <c r="H25" s="62"/>
      <c r="I25" s="64"/>
      <c r="J25" s="62"/>
      <c r="K25" s="55"/>
      <c r="L25" s="63"/>
      <c r="M25" s="65"/>
      <c r="N25" s="63"/>
      <c r="O25" s="66"/>
      <c r="P25" s="164"/>
    </row>
    <row r="26" spans="1:22" ht="16.2" hidden="1" thickBot="1" x14ac:dyDescent="0.35">
      <c r="A26" s="35" t="s">
        <v>38</v>
      </c>
      <c r="B26" s="26"/>
      <c r="C26" s="26"/>
      <c r="D26" s="27"/>
      <c r="E26" s="52">
        <f t="shared" si="7"/>
        <v>0</v>
      </c>
      <c r="F26" s="52"/>
      <c r="G26" s="64"/>
      <c r="H26" s="62"/>
      <c r="I26" s="64"/>
      <c r="J26" s="62"/>
      <c r="K26" s="55"/>
      <c r="L26" s="63"/>
      <c r="M26" s="65"/>
      <c r="N26" s="63"/>
      <c r="O26" s="66"/>
      <c r="P26" s="164"/>
      <c r="V26" s="2"/>
    </row>
    <row r="27" spans="1:22" ht="16.2" hidden="1" thickBot="1" x14ac:dyDescent="0.35">
      <c r="A27" s="35" t="s">
        <v>39</v>
      </c>
      <c r="B27" s="26"/>
      <c r="C27" s="26"/>
      <c r="D27" s="27"/>
      <c r="E27" s="52">
        <f t="shared" si="7"/>
        <v>0</v>
      </c>
      <c r="F27" s="52"/>
      <c r="G27" s="64"/>
      <c r="H27" s="62"/>
      <c r="I27" s="64"/>
      <c r="J27" s="62"/>
      <c r="K27" s="55"/>
      <c r="L27" s="63"/>
      <c r="M27" s="65"/>
      <c r="N27" s="63"/>
      <c r="O27" s="66"/>
      <c r="P27" s="164"/>
    </row>
    <row r="28" spans="1:22" ht="33.75" hidden="1" customHeight="1" x14ac:dyDescent="0.3">
      <c r="A28" s="211" t="s">
        <v>42</v>
      </c>
      <c r="B28" s="212"/>
      <c r="C28" s="212"/>
      <c r="D28" s="213"/>
      <c r="E28" s="52">
        <v>0</v>
      </c>
      <c r="F28" s="52"/>
      <c r="G28" s="64"/>
      <c r="H28" s="62"/>
      <c r="I28" s="64"/>
      <c r="J28" s="62"/>
      <c r="K28" s="55"/>
      <c r="L28" s="63"/>
      <c r="M28" s="65"/>
      <c r="N28" s="63"/>
      <c r="O28" s="66"/>
      <c r="P28" s="164"/>
    </row>
    <row r="29" spans="1:22" ht="16.2" hidden="1" thickBot="1" x14ac:dyDescent="0.35">
      <c r="A29" s="35" t="s">
        <v>40</v>
      </c>
      <c r="B29" s="26"/>
      <c r="C29" s="26"/>
      <c r="D29" s="27"/>
      <c r="E29" s="52">
        <v>0</v>
      </c>
      <c r="F29" s="52"/>
      <c r="G29" s="64"/>
      <c r="H29" s="62"/>
      <c r="I29" s="64"/>
      <c r="J29" s="62"/>
      <c r="K29" s="55"/>
      <c r="L29" s="63"/>
      <c r="M29" s="65"/>
      <c r="N29" s="63"/>
      <c r="O29" s="66"/>
      <c r="P29" s="164"/>
    </row>
    <row r="30" spans="1:22" ht="16.2" hidden="1" thickBot="1" x14ac:dyDescent="0.35">
      <c r="A30" s="36" t="s">
        <v>41</v>
      </c>
      <c r="B30" s="37"/>
      <c r="C30" s="37"/>
      <c r="D30" s="38"/>
      <c r="E30" s="52">
        <f>G30+H30+I30+J30+K30+L30+O30</f>
        <v>0</v>
      </c>
      <c r="F30" s="52"/>
      <c r="G30" s="64"/>
      <c r="H30" s="62"/>
      <c r="I30" s="64"/>
      <c r="J30" s="62"/>
      <c r="K30" s="55"/>
      <c r="L30" s="63"/>
      <c r="M30" s="65"/>
      <c r="N30" s="63"/>
      <c r="O30" s="66"/>
      <c r="P30" s="164"/>
    </row>
    <row r="31" spans="1:22" ht="16.2" hidden="1" thickBot="1" x14ac:dyDescent="0.35">
      <c r="A31" s="39" t="s">
        <v>14</v>
      </c>
      <c r="B31" s="40"/>
      <c r="C31" s="40"/>
      <c r="D31" s="41"/>
      <c r="E31" s="67"/>
      <c r="F31" s="68"/>
      <c r="G31" s="69"/>
      <c r="H31" s="70"/>
      <c r="I31" s="69"/>
      <c r="J31" s="70"/>
      <c r="K31" s="69"/>
      <c r="L31" s="71"/>
      <c r="M31" s="72"/>
      <c r="N31" s="71"/>
      <c r="O31" s="73"/>
      <c r="P31" s="164"/>
    </row>
    <row r="32" spans="1:22" ht="15.6" x14ac:dyDescent="0.3">
      <c r="A32" s="202" t="s">
        <v>70</v>
      </c>
      <c r="B32" s="203"/>
      <c r="C32" s="203"/>
      <c r="D32" s="204"/>
      <c r="E32" s="74"/>
      <c r="F32" s="74"/>
      <c r="G32" s="75"/>
      <c r="H32" s="74"/>
      <c r="I32" s="75"/>
      <c r="J32" s="74"/>
      <c r="K32" s="75"/>
      <c r="L32" s="76"/>
      <c r="M32" s="77"/>
      <c r="N32" s="76"/>
      <c r="O32" s="78"/>
      <c r="P32" s="164"/>
    </row>
    <row r="33" spans="1:16" s="157" customFormat="1" ht="15.6" x14ac:dyDescent="0.3">
      <c r="A33" s="196" t="s">
        <v>35</v>
      </c>
      <c r="B33" s="197"/>
      <c r="C33" s="197"/>
      <c r="D33" s="198"/>
      <c r="E33" s="49">
        <f>SUM(G33:K33)</f>
        <v>1442413</v>
      </c>
      <c r="F33" s="49"/>
      <c r="G33" s="130">
        <f>SUM(G34:G37)</f>
        <v>94375</v>
      </c>
      <c r="H33" s="130">
        <f t="shared" ref="H33:K33" si="8">SUM(H34:H37)</f>
        <v>511609</v>
      </c>
      <c r="I33" s="130">
        <f t="shared" si="8"/>
        <v>153508</v>
      </c>
      <c r="J33" s="130">
        <f t="shared" si="8"/>
        <v>452331</v>
      </c>
      <c r="K33" s="130">
        <f t="shared" si="8"/>
        <v>230590</v>
      </c>
      <c r="L33" s="122"/>
      <c r="M33" s="122"/>
      <c r="N33" s="122"/>
      <c r="O33" s="122"/>
      <c r="P33" s="166">
        <f t="shared" ref="P33:P40" si="9">E33-SUM(G33:K33)</f>
        <v>0</v>
      </c>
    </row>
    <row r="34" spans="1:16" s="162" customFormat="1" ht="15.6" x14ac:dyDescent="0.3">
      <c r="A34" s="169" t="s">
        <v>36</v>
      </c>
      <c r="B34" s="170"/>
      <c r="C34" s="170"/>
      <c r="D34" s="171"/>
      <c r="E34" s="63">
        <f>'Показатели ФХД'!I22</f>
        <v>382404</v>
      </c>
      <c r="F34" s="63"/>
      <c r="G34" s="64">
        <v>40002</v>
      </c>
      <c r="H34" s="62">
        <v>166222</v>
      </c>
      <c r="I34" s="64">
        <v>49570</v>
      </c>
      <c r="J34" s="62">
        <v>58606</v>
      </c>
      <c r="K34" s="64">
        <f t="shared" ref="K34:K37" si="10">E34-SUM(G34:J34)</f>
        <v>68004</v>
      </c>
      <c r="L34" s="63"/>
      <c r="M34" s="65"/>
      <c r="N34" s="63"/>
      <c r="O34" s="66"/>
      <c r="P34" s="165">
        <f t="shared" si="9"/>
        <v>0</v>
      </c>
    </row>
    <row r="35" spans="1:16" ht="15.6" x14ac:dyDescent="0.3">
      <c r="A35" s="42" t="s">
        <v>37</v>
      </c>
      <c r="B35" s="43"/>
      <c r="C35" s="43"/>
      <c r="D35" s="44"/>
      <c r="E35" s="63">
        <f>'Показатели ФХД'!I24</f>
        <v>331373</v>
      </c>
      <c r="F35" s="63"/>
      <c r="G35" s="64">
        <f>14175+4856</f>
        <v>19031</v>
      </c>
      <c r="H35" s="62">
        <f>48798+8083</f>
        <v>56881</v>
      </c>
      <c r="I35" s="64">
        <f>14517+2420</f>
        <v>16937</v>
      </c>
      <c r="J35" s="62">
        <f>140273+65235</f>
        <v>205508</v>
      </c>
      <c r="K35" s="64">
        <f t="shared" si="10"/>
        <v>33016</v>
      </c>
      <c r="L35" s="63"/>
      <c r="M35" s="65"/>
      <c r="N35" s="63"/>
      <c r="O35" s="66"/>
      <c r="P35" s="164">
        <f t="shared" si="9"/>
        <v>0</v>
      </c>
    </row>
    <row r="36" spans="1:16" ht="15.6" x14ac:dyDescent="0.3">
      <c r="A36" s="42" t="s">
        <v>85</v>
      </c>
      <c r="B36" s="43"/>
      <c r="C36" s="43"/>
      <c r="D36" s="44"/>
      <c r="E36" s="63">
        <f>'Показатели ФХД'!I23</f>
        <v>443479</v>
      </c>
      <c r="F36" s="63"/>
      <c r="G36" s="64">
        <v>12919</v>
      </c>
      <c r="H36" s="62">
        <v>203962</v>
      </c>
      <c r="I36" s="64">
        <v>61537</v>
      </c>
      <c r="J36" s="62">
        <v>75419</v>
      </c>
      <c r="K36" s="64">
        <f t="shared" si="10"/>
        <v>89642</v>
      </c>
      <c r="L36" s="63"/>
      <c r="M36" s="65"/>
      <c r="N36" s="63"/>
      <c r="O36" s="66"/>
      <c r="P36" s="164">
        <f t="shared" si="9"/>
        <v>0</v>
      </c>
    </row>
    <row r="37" spans="1:16" ht="15.6" x14ac:dyDescent="0.3">
      <c r="A37" s="42" t="s">
        <v>39</v>
      </c>
      <c r="B37" s="43"/>
      <c r="C37" s="43"/>
      <c r="D37" s="44"/>
      <c r="E37" s="63">
        <f>'Показатели ФХД'!I27</f>
        <v>285157</v>
      </c>
      <c r="F37" s="63"/>
      <c r="G37" s="64">
        <f>15557+6866</f>
        <v>22423</v>
      </c>
      <c r="H37" s="62">
        <f>78523+6021</f>
        <v>84544</v>
      </c>
      <c r="I37" s="64">
        <f>23654+1810</f>
        <v>25464</v>
      </c>
      <c r="J37" s="62">
        <f>63731+49067</f>
        <v>112798</v>
      </c>
      <c r="K37" s="64">
        <f t="shared" si="10"/>
        <v>39928</v>
      </c>
      <c r="L37" s="63"/>
      <c r="M37" s="65"/>
      <c r="N37" s="63"/>
      <c r="O37" s="66"/>
      <c r="P37" s="164">
        <f t="shared" si="9"/>
        <v>0</v>
      </c>
    </row>
    <row r="38" spans="1:16" ht="15.6" x14ac:dyDescent="0.3">
      <c r="A38" s="111" t="s">
        <v>86</v>
      </c>
      <c r="B38" s="112"/>
      <c r="C38" s="112"/>
      <c r="D38" s="113"/>
      <c r="E38" s="63"/>
      <c r="F38" s="63"/>
      <c r="G38" s="64"/>
      <c r="H38" s="62"/>
      <c r="I38" s="64"/>
      <c r="J38" s="62"/>
      <c r="K38" s="64"/>
      <c r="L38" s="63"/>
      <c r="M38" s="65"/>
      <c r="N38" s="63"/>
      <c r="O38" s="66"/>
      <c r="P38" s="164">
        <f t="shared" si="9"/>
        <v>0</v>
      </c>
    </row>
    <row r="39" spans="1:16" ht="15.6" x14ac:dyDescent="0.3">
      <c r="A39" s="42" t="s">
        <v>40</v>
      </c>
      <c r="B39" s="43"/>
      <c r="C39" s="43"/>
      <c r="D39" s="44"/>
      <c r="E39" s="52"/>
      <c r="F39" s="52"/>
      <c r="G39" s="64"/>
      <c r="H39" s="62"/>
      <c r="I39" s="64"/>
      <c r="J39" s="62"/>
      <c r="K39" s="64"/>
      <c r="L39" s="63"/>
      <c r="M39" s="65"/>
      <c r="N39" s="63"/>
      <c r="O39" s="66"/>
      <c r="P39" s="164">
        <f t="shared" si="9"/>
        <v>0</v>
      </c>
    </row>
    <row r="40" spans="1:16" s="157" customFormat="1" ht="15.6" x14ac:dyDescent="0.3">
      <c r="A40" s="149" t="s">
        <v>83</v>
      </c>
      <c r="B40" s="150"/>
      <c r="C40" s="150"/>
      <c r="D40" s="151"/>
      <c r="E40" s="49">
        <f>'Показатели ФХД'!I30</f>
        <v>495197.50391237019</v>
      </c>
      <c r="F40" s="49"/>
      <c r="G40" s="130">
        <f>G41-G33</f>
        <v>31668.699999999997</v>
      </c>
      <c r="H40" s="130">
        <f t="shared" ref="H40" si="11">H41-H33</f>
        <v>179050</v>
      </c>
      <c r="I40" s="130">
        <f t="shared" ref="I40" si="12">I41-I33</f>
        <v>53716</v>
      </c>
      <c r="J40" s="130">
        <f t="shared" ref="J40" si="13">J41-J33</f>
        <v>146887</v>
      </c>
      <c r="K40" s="128">
        <f t="shared" ref="K40" si="14">E40-SUM(G40:J40)</f>
        <v>83875.803912370175</v>
      </c>
      <c r="L40" s="122"/>
      <c r="M40" s="132"/>
      <c r="N40" s="122"/>
      <c r="O40" s="156"/>
      <c r="P40" s="166">
        <f t="shared" si="9"/>
        <v>0</v>
      </c>
    </row>
    <row r="41" spans="1:16" s="157" customFormat="1" ht="15.6" x14ac:dyDescent="0.3">
      <c r="A41" s="109" t="s">
        <v>41</v>
      </c>
      <c r="B41" s="110"/>
      <c r="C41" s="110"/>
      <c r="D41" s="38"/>
      <c r="E41" s="49">
        <f>'Показатели ФХД'!I21</f>
        <v>1937610.5039123702</v>
      </c>
      <c r="F41" s="49"/>
      <c r="G41" s="128">
        <v>126043.7</v>
      </c>
      <c r="H41" s="130">
        <v>690659</v>
      </c>
      <c r="I41" s="128">
        <v>207224</v>
      </c>
      <c r="J41" s="130">
        <v>599218</v>
      </c>
      <c r="K41" s="128">
        <f t="shared" ref="K41" si="15">E41-SUM(G41:J41)</f>
        <v>314465.80391237023</v>
      </c>
      <c r="L41" s="122"/>
      <c r="M41" s="132"/>
      <c r="N41" s="122"/>
      <c r="O41" s="156"/>
      <c r="P41" s="166">
        <f t="shared" ref="P41" si="16">E41-SUM(G41:K41)</f>
        <v>0</v>
      </c>
    </row>
    <row r="42" spans="1:16" s="157" customFormat="1" ht="16.2" thickBot="1" x14ac:dyDescent="0.35">
      <c r="A42" s="39" t="s">
        <v>14</v>
      </c>
      <c r="B42" s="40"/>
      <c r="C42" s="40"/>
      <c r="D42" s="41"/>
      <c r="E42" s="158">
        <f>-('Показатели ФХД'!I34+'Показатели ФХД'!I36)</f>
        <v>1016755.8</v>
      </c>
      <c r="F42" s="159"/>
      <c r="G42" s="160"/>
      <c r="H42" s="161"/>
      <c r="I42" s="160"/>
      <c r="J42" s="161"/>
      <c r="K42" s="160"/>
      <c r="L42" s="145">
        <v>6888</v>
      </c>
      <c r="M42" s="143">
        <f>-'Показатели ФХД'!I34</f>
        <v>996036</v>
      </c>
      <c r="N42" s="145">
        <v>1461.9</v>
      </c>
      <c r="O42" s="144">
        <f>E42-L42-M42-N42</f>
        <v>12369.900000000047</v>
      </c>
      <c r="P42" s="166">
        <f>E42-SUM(L42:O42)</f>
        <v>0</v>
      </c>
    </row>
    <row r="43" spans="1:16" ht="15.6" x14ac:dyDescent="0.3">
      <c r="A43" s="202" t="s">
        <v>71</v>
      </c>
      <c r="B43" s="203"/>
      <c r="C43" s="203"/>
      <c r="D43" s="204"/>
      <c r="E43" s="74"/>
      <c r="F43" s="74"/>
      <c r="G43" s="75"/>
      <c r="H43" s="74"/>
      <c r="I43" s="75"/>
      <c r="J43" s="74"/>
      <c r="K43" s="75"/>
      <c r="L43" s="76"/>
      <c r="M43" s="77"/>
      <c r="N43" s="76"/>
      <c r="O43" s="78"/>
      <c r="P43" s="164"/>
    </row>
    <row r="44" spans="1:16" s="157" customFormat="1" ht="15.6" x14ac:dyDescent="0.3">
      <c r="A44" s="196" t="s">
        <v>35</v>
      </c>
      <c r="B44" s="197"/>
      <c r="C44" s="197"/>
      <c r="D44" s="198"/>
      <c r="E44" s="49">
        <f>SUM(G44:K44)</f>
        <v>1768946.4549399999</v>
      </c>
      <c r="F44" s="49"/>
      <c r="G44" s="130">
        <f>SUM(G45:G48)</f>
        <v>132125</v>
      </c>
      <c r="H44" s="130">
        <f t="shared" ref="H44:K44" si="17">SUM(H45:H48)</f>
        <v>650766.64799999993</v>
      </c>
      <c r="I44" s="130">
        <f t="shared" si="17"/>
        <v>195262.17599999998</v>
      </c>
      <c r="J44" s="130">
        <f t="shared" si="17"/>
        <v>470424.24</v>
      </c>
      <c r="K44" s="130">
        <f t="shared" si="17"/>
        <v>320368.39094000013</v>
      </c>
      <c r="L44" s="122"/>
      <c r="M44" s="122"/>
      <c r="N44" s="122"/>
      <c r="O44" s="122"/>
      <c r="P44" s="166">
        <f t="shared" ref="P44:P52" si="18">E44-SUM(G44:K44)</f>
        <v>0</v>
      </c>
    </row>
    <row r="45" spans="1:16" s="162" customFormat="1" ht="15.6" x14ac:dyDescent="0.3">
      <c r="A45" s="169" t="s">
        <v>36</v>
      </c>
      <c r="B45" s="170"/>
      <c r="C45" s="170"/>
      <c r="D45" s="171"/>
      <c r="E45" s="63">
        <f>'Показатели ФХД'!K22</f>
        <v>468972.61752000003</v>
      </c>
      <c r="F45" s="63"/>
      <c r="G45" s="64">
        <f t="shared" ref="G45:G48" si="19">G34*1.4</f>
        <v>56002.799999999996</v>
      </c>
      <c r="H45" s="62">
        <f t="shared" ref="H45:I45" si="20">H34*1.272</f>
        <v>211434.38399999999</v>
      </c>
      <c r="I45" s="62">
        <f t="shared" si="20"/>
        <v>63053.04</v>
      </c>
      <c r="J45" s="62">
        <f t="shared" ref="J45:J48" si="21">J34*1.04</f>
        <v>60950.240000000005</v>
      </c>
      <c r="K45" s="64">
        <f>E45-SUM(G45:J45)</f>
        <v>77532.153520000051</v>
      </c>
      <c r="L45" s="63"/>
      <c r="M45" s="65"/>
      <c r="N45" s="63"/>
      <c r="O45" s="66"/>
      <c r="P45" s="165">
        <f t="shared" si="18"/>
        <v>0</v>
      </c>
    </row>
    <row r="46" spans="1:16" ht="15.6" x14ac:dyDescent="0.3">
      <c r="A46" s="79" t="s">
        <v>37</v>
      </c>
      <c r="B46" s="80"/>
      <c r="C46" s="80"/>
      <c r="D46" s="81"/>
      <c r="E46" s="63">
        <f>'Показатели ФХД'!K24</f>
        <v>406389.21974000003</v>
      </c>
      <c r="F46" s="63"/>
      <c r="G46" s="64">
        <f t="shared" si="19"/>
        <v>26643.399999999998</v>
      </c>
      <c r="H46" s="62">
        <f t="shared" ref="H46:I46" si="22">H35*1.272</f>
        <v>72352.631999999998</v>
      </c>
      <c r="I46" s="62">
        <f t="shared" si="22"/>
        <v>21543.864000000001</v>
      </c>
      <c r="J46" s="62">
        <f t="shared" si="21"/>
        <v>213728.32</v>
      </c>
      <c r="K46" s="64">
        <f t="shared" ref="K46:K48" si="23">E46-SUM(G46:J46)</f>
        <v>72121.003740000015</v>
      </c>
      <c r="L46" s="63"/>
      <c r="M46" s="65"/>
      <c r="N46" s="63"/>
      <c r="O46" s="66"/>
      <c r="P46" s="164">
        <f t="shared" si="18"/>
        <v>0</v>
      </c>
    </row>
    <row r="47" spans="1:16" ht="15.6" x14ac:dyDescent="0.3">
      <c r="A47" s="79" t="s">
        <v>85</v>
      </c>
      <c r="B47" s="80"/>
      <c r="C47" s="80"/>
      <c r="D47" s="81"/>
      <c r="E47" s="63">
        <f>'Показатели ФХД'!K23</f>
        <v>543873.77601999999</v>
      </c>
      <c r="F47" s="63"/>
      <c r="G47" s="64">
        <f t="shared" si="19"/>
        <v>18086.599999999999</v>
      </c>
      <c r="H47" s="62">
        <f t="shared" ref="H47:I47" si="24">H36*1.272</f>
        <v>259439.66399999999</v>
      </c>
      <c r="I47" s="62">
        <f t="shared" si="24"/>
        <v>78275.063999999998</v>
      </c>
      <c r="J47" s="62">
        <f t="shared" si="21"/>
        <v>78435.760000000009</v>
      </c>
      <c r="K47" s="64">
        <f t="shared" si="23"/>
        <v>109636.68802</v>
      </c>
      <c r="L47" s="63"/>
      <c r="M47" s="65"/>
      <c r="N47" s="63"/>
      <c r="O47" s="66"/>
      <c r="P47" s="164">
        <f t="shared" si="18"/>
        <v>0</v>
      </c>
    </row>
    <row r="48" spans="1:16" ht="15.6" x14ac:dyDescent="0.3">
      <c r="A48" s="79" t="s">
        <v>39</v>
      </c>
      <c r="B48" s="80"/>
      <c r="C48" s="80"/>
      <c r="D48" s="81"/>
      <c r="E48" s="63">
        <f>'Показатели ФХД'!K27</f>
        <v>349710.84166000003</v>
      </c>
      <c r="F48" s="63"/>
      <c r="G48" s="64">
        <f t="shared" si="19"/>
        <v>31392.199999999997</v>
      </c>
      <c r="H48" s="62">
        <f t="shared" ref="H48:I48" si="25">H37*1.272</f>
        <v>107539.96800000001</v>
      </c>
      <c r="I48" s="62">
        <f t="shared" si="25"/>
        <v>32390.207999999999</v>
      </c>
      <c r="J48" s="62">
        <f t="shared" si="21"/>
        <v>117309.92</v>
      </c>
      <c r="K48" s="64">
        <f t="shared" si="23"/>
        <v>61078.545660000062</v>
      </c>
      <c r="L48" s="63"/>
      <c r="M48" s="65"/>
      <c r="N48" s="63"/>
      <c r="O48" s="66"/>
      <c r="P48" s="164">
        <f t="shared" si="18"/>
        <v>0</v>
      </c>
    </row>
    <row r="49" spans="1:16" ht="15.6" x14ac:dyDescent="0.3">
      <c r="A49" s="111" t="s">
        <v>86</v>
      </c>
      <c r="B49" s="112"/>
      <c r="C49" s="112"/>
      <c r="D49" s="113"/>
      <c r="E49" s="63"/>
      <c r="F49" s="63"/>
      <c r="G49" s="64"/>
      <c r="H49" s="130"/>
      <c r="I49" s="130"/>
      <c r="J49" s="130"/>
      <c r="K49" s="64"/>
      <c r="L49" s="63"/>
      <c r="M49" s="65"/>
      <c r="N49" s="63"/>
      <c r="O49" s="66"/>
      <c r="P49" s="164">
        <f t="shared" si="18"/>
        <v>0</v>
      </c>
    </row>
    <row r="50" spans="1:16" ht="15.6" x14ac:dyDescent="0.3">
      <c r="A50" s="79" t="s">
        <v>40</v>
      </c>
      <c r="B50" s="80"/>
      <c r="C50" s="80"/>
      <c r="D50" s="81"/>
      <c r="E50" s="52"/>
      <c r="F50" s="52"/>
      <c r="G50" s="64"/>
      <c r="H50" s="130"/>
      <c r="I50" s="130"/>
      <c r="J50" s="130"/>
      <c r="K50" s="55"/>
      <c r="L50" s="63"/>
      <c r="M50" s="65"/>
      <c r="N50" s="63"/>
      <c r="O50" s="66"/>
      <c r="P50" s="164">
        <f t="shared" si="18"/>
        <v>0</v>
      </c>
    </row>
    <row r="51" spans="1:16" s="157" customFormat="1" ht="15.6" x14ac:dyDescent="0.3">
      <c r="A51" s="149" t="s">
        <v>83</v>
      </c>
      <c r="B51" s="150"/>
      <c r="C51" s="150"/>
      <c r="D51" s="151"/>
      <c r="E51" s="49">
        <f>'Показатели ФХД'!K30</f>
        <v>607305.57435934979</v>
      </c>
      <c r="F51" s="49"/>
      <c r="G51" s="130">
        <f>G52-G44</f>
        <v>44336.179999999993</v>
      </c>
      <c r="H51" s="130">
        <f t="shared" ref="H51" si="26">H52-H44</f>
        <v>227751.60000000009</v>
      </c>
      <c r="I51" s="130">
        <f t="shared" ref="I51" si="27">I52-I44</f>
        <v>68326.752000000037</v>
      </c>
      <c r="J51" s="130">
        <f t="shared" ref="J51" si="28">J52-J44</f>
        <v>152762.47999999998</v>
      </c>
      <c r="K51" s="128">
        <f t="shared" ref="K51:K52" si="29">E51-SUM(G51:J51)</f>
        <v>114128.56235934969</v>
      </c>
      <c r="L51" s="122"/>
      <c r="M51" s="132"/>
      <c r="N51" s="122"/>
      <c r="O51" s="156"/>
      <c r="P51" s="166">
        <f t="shared" si="18"/>
        <v>0</v>
      </c>
    </row>
    <row r="52" spans="1:16" s="157" customFormat="1" ht="15.6" x14ac:dyDescent="0.3">
      <c r="A52" s="109" t="s">
        <v>41</v>
      </c>
      <c r="B52" s="110"/>
      <c r="C52" s="110"/>
      <c r="D52" s="38"/>
      <c r="E52" s="49">
        <f>'Показатели ФХД'!K21</f>
        <v>2376252.02929935</v>
      </c>
      <c r="F52" s="49"/>
      <c r="G52" s="128">
        <f>G41*1.4</f>
        <v>176461.18</v>
      </c>
      <c r="H52" s="130">
        <f>H41*1.272</f>
        <v>878518.24800000002</v>
      </c>
      <c r="I52" s="130">
        <f>I41*1.272</f>
        <v>263588.92800000001</v>
      </c>
      <c r="J52" s="130">
        <f>J41*1.04</f>
        <v>623186.72</v>
      </c>
      <c r="K52" s="128">
        <f t="shared" si="29"/>
        <v>434496.95329934987</v>
      </c>
      <c r="L52" s="122"/>
      <c r="M52" s="132"/>
      <c r="N52" s="122"/>
      <c r="O52" s="156"/>
      <c r="P52" s="166">
        <f t="shared" si="18"/>
        <v>0</v>
      </c>
    </row>
    <row r="53" spans="1:16" s="157" customFormat="1" ht="16.2" thickBot="1" x14ac:dyDescent="0.35">
      <c r="A53" s="39" t="s">
        <v>14</v>
      </c>
      <c r="B53" s="40"/>
      <c r="C53" s="40"/>
      <c r="D53" s="41"/>
      <c r="E53" s="158">
        <f>-('Показатели ФХД'!K34+'Показатели ФХД'!K36)</f>
        <v>795655</v>
      </c>
      <c r="F53" s="159"/>
      <c r="G53" s="160"/>
      <c r="H53" s="161"/>
      <c r="I53" s="160"/>
      <c r="J53" s="161"/>
      <c r="K53" s="160"/>
      <c r="L53" s="145">
        <f>L42*1.04</f>
        <v>7163.52</v>
      </c>
      <c r="M53" s="143">
        <f>-'Показатели ФХД'!K34</f>
        <v>783655</v>
      </c>
      <c r="N53" s="145">
        <f>N42*1.04</f>
        <v>1520.3760000000002</v>
      </c>
      <c r="O53" s="144">
        <f>E53-L53-M53-N53</f>
        <v>3316.1039999999812</v>
      </c>
      <c r="P53" s="166">
        <f>E53-SUM(L53:O53)</f>
        <v>0</v>
      </c>
    </row>
  </sheetData>
  <mergeCells count="26">
    <mergeCell ref="J6:J9"/>
    <mergeCell ref="K6:K9"/>
    <mergeCell ref="L6:L9"/>
    <mergeCell ref="M6:M9"/>
    <mergeCell ref="N6:N9"/>
    <mergeCell ref="A7:D7"/>
    <mergeCell ref="F6:F9"/>
    <mergeCell ref="G6:G9"/>
    <mergeCell ref="H6:H9"/>
    <mergeCell ref="I6:I9"/>
    <mergeCell ref="A3:O3"/>
    <mergeCell ref="A43:D43"/>
    <mergeCell ref="A44:D44"/>
    <mergeCell ref="A45:D45"/>
    <mergeCell ref="O6:O9"/>
    <mergeCell ref="A11:D11"/>
    <mergeCell ref="A23:D23"/>
    <mergeCell ref="A28:D28"/>
    <mergeCell ref="A12:D12"/>
    <mergeCell ref="A13:D13"/>
    <mergeCell ref="A24:D24"/>
    <mergeCell ref="A22:D22"/>
    <mergeCell ref="A32:D32"/>
    <mergeCell ref="A33:D33"/>
    <mergeCell ref="A34:D34"/>
    <mergeCell ref="F5:O5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Показатели ФХД</vt:lpstr>
      <vt:lpstr>Расшифровка расходов</vt:lpstr>
      <vt:lpstr>'Расшифровка расходов'!Область_печати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2025-03-17T07:18:46Z</dcterms:modified>
</cp:coreProperties>
</file>